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Hydraulics!$E$1:$Q$254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F4" i="4"/>
  <c r="F5"/>
  <c r="E5" s="1"/>
  <c r="F6"/>
  <c r="E6" s="1"/>
  <c r="F7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E4"/>
  <c r="E1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4"/>
  <c r="AO4" l="1"/>
  <c r="AP4"/>
  <c r="AH4"/>
  <c r="AG4"/>
  <c r="AI4" s="1"/>
  <c r="AA4"/>
  <c r="T4"/>
  <c r="Z4"/>
  <c r="AB4" s="1"/>
  <c r="S4"/>
  <c r="U4" s="1"/>
  <c r="B7" i="3" l="1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2"/>
  <c r="K252" s="1"/>
  <c r="L252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41"/>
  <c r="AQ241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50"/>
  <c r="AQ250"/>
  <c r="AJ238"/>
  <c r="AQ238"/>
  <c r="AJ226"/>
  <c r="AQ226"/>
  <c r="AJ206"/>
  <c r="AQ206"/>
  <c r="AJ186"/>
  <c r="AQ186"/>
  <c r="AJ4"/>
  <c r="AQ4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C15" s="1"/>
  <c r="G166"/>
  <c r="G164"/>
  <c r="G162"/>
  <c r="G160"/>
  <c r="G158"/>
  <c r="G156"/>
  <c r="G154"/>
  <c r="G152"/>
  <c r="G150"/>
  <c r="G148"/>
  <c r="G146"/>
  <c r="G144"/>
  <c r="G142"/>
  <c r="G140"/>
  <c r="C6" s="1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3"/>
  <c r="AN253" s="1"/>
  <c r="H249"/>
  <c r="AN249" s="1"/>
  <c r="H243"/>
  <c r="AN243" s="1"/>
  <c r="H239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H101"/>
  <c r="AN101" s="1"/>
  <c r="H99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51"/>
  <c r="H247"/>
  <c r="AN247" s="1"/>
  <c r="H245"/>
  <c r="AN245" s="1"/>
  <c r="H241"/>
  <c r="AN241" s="1"/>
  <c r="H237"/>
  <c r="AN237" s="1"/>
  <c r="H252"/>
  <c r="AN252" s="1"/>
  <c r="H250"/>
  <c r="H248"/>
  <c r="AN248" s="1"/>
  <c r="H246"/>
  <c r="H244"/>
  <c r="AN244" s="1"/>
  <c r="H242"/>
  <c r="H240"/>
  <c r="AN240" s="1"/>
  <c r="H238"/>
  <c r="H236"/>
  <c r="AN236" s="1"/>
  <c r="H234"/>
  <c r="H232"/>
  <c r="AN232" s="1"/>
  <c r="H230"/>
  <c r="H228"/>
  <c r="AN228" s="1"/>
  <c r="H226"/>
  <c r="H224"/>
  <c r="AN224" s="1"/>
  <c r="H222"/>
  <c r="H220"/>
  <c r="AN220" s="1"/>
  <c r="H218"/>
  <c r="H216"/>
  <c r="AN216" s="1"/>
  <c r="H214"/>
  <c r="H212"/>
  <c r="AN212" s="1"/>
  <c r="H210"/>
  <c r="H208"/>
  <c r="AN208" s="1"/>
  <c r="H206"/>
  <c r="H204"/>
  <c r="AN204" s="1"/>
  <c r="H202"/>
  <c r="H200"/>
  <c r="AN200" s="1"/>
  <c r="H198"/>
  <c r="H196"/>
  <c r="AN196" s="1"/>
  <c r="H194"/>
  <c r="H192"/>
  <c r="AN192" s="1"/>
  <c r="H190"/>
  <c r="H188"/>
  <c r="AN188" s="1"/>
  <c r="H186"/>
  <c r="H184"/>
  <c r="AN184" s="1"/>
  <c r="H182"/>
  <c r="H180"/>
  <c r="AN180" s="1"/>
  <c r="H178"/>
  <c r="H176"/>
  <c r="AN176" s="1"/>
  <c r="H174"/>
  <c r="H172"/>
  <c r="AN172" s="1"/>
  <c r="H170"/>
  <c r="H168"/>
  <c r="AN168" s="1"/>
  <c r="H166"/>
  <c r="H164"/>
  <c r="AN164" s="1"/>
  <c r="H162"/>
  <c r="H160"/>
  <c r="AN160" s="1"/>
  <c r="H158"/>
  <c r="H156"/>
  <c r="AN156" s="1"/>
  <c r="H154"/>
  <c r="H152"/>
  <c r="AN152" s="1"/>
  <c r="H150"/>
  <c r="H148"/>
  <c r="AN148" s="1"/>
  <c r="H146"/>
  <c r="H144"/>
  <c r="AN144" s="1"/>
  <c r="H142"/>
  <c r="H140"/>
  <c r="AN140" s="1"/>
  <c r="H138"/>
  <c r="H136"/>
  <c r="AN136" s="1"/>
  <c r="H134"/>
  <c r="H132"/>
  <c r="AN132" s="1"/>
  <c r="H130"/>
  <c r="H128"/>
  <c r="AN128" s="1"/>
  <c r="H126"/>
  <c r="H124"/>
  <c r="AN124" s="1"/>
  <c r="H122"/>
  <c r="H120"/>
  <c r="AN120" s="1"/>
  <c r="H118"/>
  <c r="H116"/>
  <c r="AN116" s="1"/>
  <c r="H114"/>
  <c r="H112"/>
  <c r="AN112" s="1"/>
  <c r="H110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H88"/>
  <c r="AN88" s="1"/>
  <c r="H86"/>
  <c r="H84"/>
  <c r="AN84" s="1"/>
  <c r="H82"/>
  <c r="H80"/>
  <c r="AN80" s="1"/>
  <c r="H78"/>
  <c r="H76"/>
  <c r="AN76" s="1"/>
  <c r="H74"/>
  <c r="H72"/>
  <c r="AN72" s="1"/>
  <c r="H70"/>
  <c r="H68"/>
  <c r="AN68" s="1"/>
  <c r="H66"/>
  <c r="H64"/>
  <c r="AN64" s="1"/>
  <c r="H62"/>
  <c r="H60"/>
  <c r="AN60" s="1"/>
  <c r="H58"/>
  <c r="H56"/>
  <c r="AN56" s="1"/>
  <c r="H54"/>
  <c r="H52"/>
  <c r="AN52" s="1"/>
  <c r="H50"/>
  <c r="H46"/>
  <c r="AN46" s="1"/>
  <c r="H44"/>
  <c r="AN44" s="1"/>
  <c r="H40"/>
  <c r="AN40" s="1"/>
  <c r="H38"/>
  <c r="H36"/>
  <c r="AN36" s="1"/>
  <c r="H34"/>
  <c r="H32"/>
  <c r="AN32" s="1"/>
  <c r="H30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H48"/>
  <c r="AN48" s="1"/>
  <c r="H94"/>
  <c r="H5"/>
  <c r="AN5" s="1"/>
  <c r="H42"/>
  <c r="H28"/>
  <c r="AN28" s="1"/>
  <c r="AN42" l="1"/>
  <c r="AN94"/>
  <c r="AN95"/>
  <c r="AN30"/>
  <c r="AN34"/>
  <c r="AN38"/>
  <c r="AN50"/>
  <c r="AN54"/>
  <c r="AN58"/>
  <c r="AN62"/>
  <c r="AN66"/>
  <c r="AN70"/>
  <c r="AN74"/>
  <c r="AN78"/>
  <c r="AN82"/>
  <c r="AN86"/>
  <c r="AN90"/>
  <c r="AN110"/>
  <c r="AN114"/>
  <c r="AN118"/>
  <c r="AN122"/>
  <c r="AN126"/>
  <c r="AN130"/>
  <c r="AN134"/>
  <c r="AN138"/>
  <c r="AN142"/>
  <c r="AN146"/>
  <c r="AN150"/>
  <c r="AN154"/>
  <c r="AN158"/>
  <c r="AN162"/>
  <c r="AN166"/>
  <c r="AN170"/>
  <c r="AN174"/>
  <c r="AN178"/>
  <c r="AN182"/>
  <c r="AN186"/>
  <c r="AN190"/>
  <c r="AN194"/>
  <c r="AN198"/>
  <c r="AN202"/>
  <c r="AN206"/>
  <c r="AN210"/>
  <c r="AN214"/>
  <c r="AN218"/>
  <c r="AN222"/>
  <c r="AN226"/>
  <c r="AN230"/>
  <c r="AN234"/>
  <c r="AN238"/>
  <c r="AN242"/>
  <c r="AN246"/>
  <c r="AN250"/>
  <c r="AN251"/>
  <c r="AN99"/>
  <c r="AN103"/>
  <c r="AN239"/>
  <c r="AE14"/>
  <c r="AL14"/>
  <c r="AS14"/>
  <c r="X14"/>
  <c r="W4"/>
  <c r="N4" s="1"/>
  <c r="X4"/>
  <c r="AL4"/>
  <c r="AS4"/>
  <c r="AE4"/>
  <c r="X168"/>
  <c r="AE168"/>
  <c r="AL168"/>
  <c r="AS168"/>
  <c r="C13"/>
  <c r="C16"/>
  <c r="C5"/>
  <c r="C14"/>
  <c r="C18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45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41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37"/>
  <c r="AO251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47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H237"/>
  <c r="AG237"/>
  <c r="AH245"/>
  <c r="AG245"/>
  <c r="AH251"/>
  <c r="AG251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H241"/>
  <c r="AG241"/>
  <c r="AH247"/>
  <c r="AG247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37"/>
  <c r="T237"/>
  <c r="Z237"/>
  <c r="S237"/>
  <c r="AA245"/>
  <c r="T245"/>
  <c r="Z245"/>
  <c r="S245"/>
  <c r="AA251"/>
  <c r="T251"/>
  <c r="Z251"/>
  <c r="S251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41"/>
  <c r="T241"/>
  <c r="Z241"/>
  <c r="S241"/>
  <c r="AA247"/>
  <c r="T247"/>
  <c r="Z247"/>
  <c r="S247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S140" l="1"/>
  <c r="X140"/>
  <c r="AE140"/>
  <c r="AL140"/>
  <c r="AE117"/>
  <c r="AL117"/>
  <c r="AS117"/>
  <c r="AS118" s="1"/>
  <c r="X117"/>
  <c r="M4"/>
  <c r="AI245"/>
  <c r="AI235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L15" s="1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116"/>
  <c r="AI106"/>
  <c r="AI98"/>
  <c r="AI118"/>
  <c r="AI100"/>
  <c r="AI253"/>
  <c r="AI171"/>
  <c r="AP166"/>
  <c r="AI173"/>
  <c r="U72"/>
  <c r="U124"/>
  <c r="U182"/>
  <c r="AB182" s="1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41"/>
  <c r="U250"/>
  <c r="U226"/>
  <c r="U194"/>
  <c r="U178"/>
  <c r="U170"/>
  <c r="U154"/>
  <c r="U138"/>
  <c r="U130"/>
  <c r="U122"/>
  <c r="U104"/>
  <c r="U70"/>
  <c r="U62"/>
  <c r="U16"/>
  <c r="U169"/>
  <c r="X169" s="1"/>
  <c r="U153"/>
  <c r="U145"/>
  <c r="U121"/>
  <c r="U113"/>
  <c r="U69"/>
  <c r="U61"/>
  <c r="U53"/>
  <c r="U37"/>
  <c r="U29"/>
  <c r="U21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S169" s="1"/>
  <c r="AP153"/>
  <c r="AP137"/>
  <c r="AP121"/>
  <c r="AP103"/>
  <c r="AP85"/>
  <c r="AP69"/>
  <c r="AP53"/>
  <c r="AP37"/>
  <c r="AP21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179"/>
  <c r="AB14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AE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L169" s="1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51"/>
  <c r="AI237"/>
  <c r="AI112"/>
  <c r="AI102"/>
  <c r="AI110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47"/>
  <c r="AP231"/>
  <c r="AP215"/>
  <c r="AP199"/>
  <c r="AP183"/>
  <c r="AP167"/>
  <c r="AP151"/>
  <c r="AP135"/>
  <c r="AP119"/>
  <c r="AP101"/>
  <c r="AP83"/>
  <c r="AP67"/>
  <c r="AP51"/>
  <c r="AP35"/>
  <c r="AP19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S15" s="1"/>
  <c r="AP96"/>
  <c r="AP44"/>
  <c r="AP8"/>
  <c r="AP229"/>
  <c r="AP213"/>
  <c r="AP197"/>
  <c r="AP181"/>
  <c r="AP165"/>
  <c r="AP149"/>
  <c r="AP133"/>
  <c r="AP117"/>
  <c r="AP99"/>
  <c r="AP81"/>
  <c r="AP65"/>
  <c r="AP49"/>
  <c r="AP33"/>
  <c r="AP17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39"/>
  <c r="AB229"/>
  <c r="AB223"/>
  <c r="AB199"/>
  <c r="AB195"/>
  <c r="AB191"/>
  <c r="AB181"/>
  <c r="AB178"/>
  <c r="AB169"/>
  <c r="AE169" s="1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U28"/>
  <c r="AB28" s="1"/>
  <c r="U48"/>
  <c r="AB48" s="1"/>
  <c r="AE170" l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O4"/>
  <c r="P4" s="1"/>
  <c r="Q4" s="1"/>
  <c r="AS16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L170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S7"/>
  <c r="AS8" s="1"/>
  <c r="AS9" s="1"/>
  <c r="AS10" s="1"/>
  <c r="AS11" s="1"/>
  <c r="AS12" s="1"/>
  <c r="AS13" s="1"/>
  <c r="X141"/>
  <c r="X142" s="1"/>
  <c r="X143" s="1"/>
  <c r="X144" s="1"/>
  <c r="X145" s="1"/>
  <c r="X146" s="1"/>
  <c r="X147" s="1"/>
  <c r="AE187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16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S170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L6"/>
  <c r="AL7" s="1"/>
  <c r="AL8" s="1"/>
  <c r="AL9" s="1"/>
  <c r="AL10" s="1"/>
  <c r="AL11" s="1"/>
  <c r="AL12" s="1"/>
  <c r="AL13" s="1"/>
  <c r="AL16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S119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T139" s="1"/>
  <c r="AT140" s="1"/>
  <c r="X15"/>
  <c r="X16" s="1"/>
  <c r="X17" s="1"/>
  <c r="X18" s="1"/>
  <c r="X19" s="1"/>
  <c r="X20" s="1"/>
  <c r="X21" s="1"/>
  <c r="X22" s="1"/>
  <c r="X23" s="1"/>
  <c r="X24" s="1"/>
  <c r="X25" s="1"/>
  <c r="X26" s="1"/>
  <c r="X27" s="1"/>
  <c r="X28" s="1"/>
  <c r="X29" s="1"/>
  <c r="X30" s="1"/>
  <c r="X31" s="1"/>
  <c r="X32" s="1"/>
  <c r="X33" s="1"/>
  <c r="X34" s="1"/>
  <c r="X35" s="1"/>
  <c r="X36" s="1"/>
  <c r="X37" s="1"/>
  <c r="X38" s="1"/>
  <c r="X39" s="1"/>
  <c r="X40" s="1"/>
  <c r="X41" s="1"/>
  <c r="X42" s="1"/>
  <c r="X43" s="1"/>
  <c r="X44" s="1"/>
  <c r="X45" s="1"/>
  <c r="X46" s="1"/>
  <c r="X47" s="1"/>
  <c r="X48" s="1"/>
  <c r="X49" s="1"/>
  <c r="X50" s="1"/>
  <c r="X51" s="1"/>
  <c r="X52" s="1"/>
  <c r="X53" s="1"/>
  <c r="X54" s="1"/>
  <c r="X55" s="1"/>
  <c r="X56" s="1"/>
  <c r="X57" s="1"/>
  <c r="X58" s="1"/>
  <c r="X59" s="1"/>
  <c r="X60" s="1"/>
  <c r="X61" s="1"/>
  <c r="X62" s="1"/>
  <c r="X63" s="1"/>
  <c r="X64" s="1"/>
  <c r="X65" s="1"/>
  <c r="X66" s="1"/>
  <c r="X67" s="1"/>
  <c r="X68" s="1"/>
  <c r="X69" s="1"/>
  <c r="X70" s="1"/>
  <c r="X71" s="1"/>
  <c r="X72" s="1"/>
  <c r="X73" s="1"/>
  <c r="X74" s="1"/>
  <c r="X75" s="1"/>
  <c r="X76" s="1"/>
  <c r="X77" s="1"/>
  <c r="X78" s="1"/>
  <c r="X79" s="1"/>
  <c r="X80" s="1"/>
  <c r="X81" s="1"/>
  <c r="X82" s="1"/>
  <c r="X83" s="1"/>
  <c r="X84" s="1"/>
  <c r="X85" s="1"/>
  <c r="X86" s="1"/>
  <c r="X87" s="1"/>
  <c r="X88" s="1"/>
  <c r="X89" s="1"/>
  <c r="X90" s="1"/>
  <c r="X91" s="1"/>
  <c r="X92" s="1"/>
  <c r="X93" s="1"/>
  <c r="X94" s="1"/>
  <c r="X95" s="1"/>
  <c r="X96" s="1"/>
  <c r="X97" s="1"/>
  <c r="X98" s="1"/>
  <c r="X99" s="1"/>
  <c r="X100" s="1"/>
  <c r="X101" s="1"/>
  <c r="X102" s="1"/>
  <c r="X103" s="1"/>
  <c r="X104" s="1"/>
  <c r="X105" s="1"/>
  <c r="X106" s="1"/>
  <c r="X107" s="1"/>
  <c r="X108" s="1"/>
  <c r="X109" s="1"/>
  <c r="X110" s="1"/>
  <c r="X111" s="1"/>
  <c r="X112" s="1"/>
  <c r="X113" s="1"/>
  <c r="X114" s="1"/>
  <c r="X115" s="1"/>
  <c r="X116" s="1"/>
  <c r="X5"/>
  <c r="X6" s="1"/>
  <c r="X7" s="1"/>
  <c r="X8" s="1"/>
  <c r="X9" s="1"/>
  <c r="X10" s="1"/>
  <c r="X11" s="1"/>
  <c r="X12" s="1"/>
  <c r="X13" s="1"/>
  <c r="AL118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S14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X170"/>
  <c r="X171" s="1"/>
  <c r="X172" s="1"/>
  <c r="X173" s="1"/>
  <c r="X174" s="1"/>
  <c r="X175" s="1"/>
  <c r="X176" s="1"/>
  <c r="X177" s="1"/>
  <c r="X178" s="1"/>
  <c r="X179" s="1"/>
  <c r="X180" s="1"/>
  <c r="X181" s="1"/>
  <c r="X182" s="1"/>
  <c r="X183" s="1"/>
  <c r="X184" s="1"/>
  <c r="X185" s="1"/>
  <c r="X186" s="1"/>
  <c r="X187" s="1"/>
  <c r="X188" s="1"/>
  <c r="X189" s="1"/>
  <c r="X190" s="1"/>
  <c r="X191" s="1"/>
  <c r="X192" s="1"/>
  <c r="X193" s="1"/>
  <c r="X194" s="1"/>
  <c r="X195" s="1"/>
  <c r="X196" s="1"/>
  <c r="X197" s="1"/>
  <c r="X198" s="1"/>
  <c r="X199" s="1"/>
  <c r="X200" s="1"/>
  <c r="X201" s="1"/>
  <c r="X202" s="1"/>
  <c r="X203" s="1"/>
  <c r="X204" s="1"/>
  <c r="X205" s="1"/>
  <c r="X206" s="1"/>
  <c r="X207" s="1"/>
  <c r="X208" s="1"/>
  <c r="X209" s="1"/>
  <c r="X210" s="1"/>
  <c r="X211" s="1"/>
  <c r="X212" s="1"/>
  <c r="X213" s="1"/>
  <c r="X214" s="1"/>
  <c r="X215" s="1"/>
  <c r="X216" s="1"/>
  <c r="X217" s="1"/>
  <c r="X218" s="1"/>
  <c r="X219" s="1"/>
  <c r="X220" s="1"/>
  <c r="X221" s="1"/>
  <c r="X222" s="1"/>
  <c r="X223" s="1"/>
  <c r="X224" s="1"/>
  <c r="X225" s="1"/>
  <c r="X226" s="1"/>
  <c r="X227" s="1"/>
  <c r="X228" s="1"/>
  <c r="X229" s="1"/>
  <c r="X230" s="1"/>
  <c r="X231" s="1"/>
  <c r="X232" s="1"/>
  <c r="X233" s="1"/>
  <c r="X234" s="1"/>
  <c r="X235" s="1"/>
  <c r="X236" s="1"/>
  <c r="X237" s="1"/>
  <c r="X238" s="1"/>
  <c r="X239" s="1"/>
  <c r="X240" s="1"/>
  <c r="X241" s="1"/>
  <c r="X242" s="1"/>
  <c r="X243" s="1"/>
  <c r="X244" s="1"/>
  <c r="X245" s="1"/>
  <c r="X246" s="1"/>
  <c r="X247" s="1"/>
  <c r="X248" s="1"/>
  <c r="X249" s="1"/>
  <c r="X250" s="1"/>
  <c r="X251" s="1"/>
  <c r="X252" s="1"/>
  <c r="X253" s="1"/>
  <c r="X148"/>
  <c r="X149" s="1"/>
  <c r="X150" s="1"/>
  <c r="X151" s="1"/>
  <c r="X152" s="1"/>
  <c r="X153" s="1"/>
  <c r="X154" s="1"/>
  <c r="X155" s="1"/>
  <c r="X156" s="1"/>
  <c r="X157" s="1"/>
  <c r="X158" s="1"/>
  <c r="X159" s="1"/>
  <c r="X160" s="1"/>
  <c r="X161" s="1"/>
  <c r="X162" s="1"/>
  <c r="X163" s="1"/>
  <c r="X164" s="1"/>
  <c r="X165" s="1"/>
  <c r="X166" s="1"/>
  <c r="X167" s="1"/>
  <c r="X118"/>
  <c r="X119" s="1"/>
  <c r="X120" s="1"/>
  <c r="X121" s="1"/>
  <c r="X122" s="1"/>
  <c r="X123" s="1"/>
  <c r="X124" s="1"/>
  <c r="X125" s="1"/>
  <c r="X126" s="1"/>
  <c r="X127" s="1"/>
  <c r="X128" s="1"/>
  <c r="X129" s="1"/>
  <c r="X130" s="1"/>
  <c r="X131" s="1"/>
  <c r="X132" s="1"/>
  <c r="X133" s="1"/>
  <c r="X134" s="1"/>
  <c r="X135" s="1"/>
  <c r="X136" s="1"/>
  <c r="X137" s="1"/>
  <c r="X138" s="1"/>
  <c r="X139" s="1"/>
  <c r="AE14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18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L14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M6"/>
  <c r="AK5"/>
  <c r="AK4"/>
  <c r="AB5"/>
  <c r="AE5" s="1"/>
  <c r="AE6" s="1"/>
  <c r="AE7" s="1"/>
  <c r="AE8" s="1"/>
  <c r="AE9" s="1"/>
  <c r="AE10" s="1"/>
  <c r="AE11" s="1"/>
  <c r="AE12" s="1"/>
  <c r="AE13" s="1"/>
  <c r="M5" l="1"/>
  <c r="M7"/>
  <c r="AD5"/>
  <c r="AR5"/>
  <c r="O5" l="1"/>
  <c r="P5" s="1"/>
  <c r="Q5" s="1"/>
  <c r="M8"/>
  <c r="AD6"/>
  <c r="O6" s="1"/>
  <c r="P6" s="1"/>
  <c r="Q6" s="1"/>
  <c r="AK6"/>
  <c r="AR6"/>
  <c r="M9" l="1"/>
  <c r="AD7"/>
  <c r="O7" s="1"/>
  <c r="P7" s="1"/>
  <c r="Q7" s="1"/>
  <c r="AR7"/>
  <c r="AK7"/>
  <c r="M10" l="1"/>
  <c r="AD8"/>
  <c r="O8" s="1"/>
  <c r="P8" s="1"/>
  <c r="Q8" s="1"/>
  <c r="AR8"/>
  <c r="AK8"/>
  <c r="M11" l="1"/>
  <c r="AR9"/>
  <c r="AD9"/>
  <c r="O9" s="1"/>
  <c r="P9" s="1"/>
  <c r="Q9" s="1"/>
  <c r="AK9"/>
  <c r="M12" l="1"/>
  <c r="AD10"/>
  <c r="O10" s="1"/>
  <c r="P10" s="1"/>
  <c r="Q10" s="1"/>
  <c r="AR10"/>
  <c r="AK10"/>
  <c r="M13" l="1"/>
  <c r="AD11"/>
  <c r="O11" s="1"/>
  <c r="P11" s="1"/>
  <c r="Q11" s="1"/>
  <c r="AK11"/>
  <c r="AR11"/>
  <c r="M14" l="1"/>
  <c r="AK12"/>
  <c r="AR12"/>
  <c r="AD12"/>
  <c r="O12" s="1"/>
  <c r="P12" s="1"/>
  <c r="Q12" s="1"/>
  <c r="M15" l="1"/>
  <c r="AD13"/>
  <c r="O13" s="1"/>
  <c r="P13" s="1"/>
  <c r="Q13" s="1"/>
  <c r="AR13"/>
  <c r="AK13"/>
  <c r="M16" l="1"/>
  <c r="AD14"/>
  <c r="O14" s="1"/>
  <c r="P14" s="1"/>
  <c r="Q14" s="1"/>
  <c r="AR14"/>
  <c r="AK14"/>
  <c r="M17" l="1"/>
  <c r="AK15"/>
  <c r="AR15"/>
  <c r="AD15"/>
  <c r="O15" s="1"/>
  <c r="P15" s="1"/>
  <c r="Q15" s="1"/>
  <c r="M18" l="1"/>
  <c r="AD16"/>
  <c r="O16" s="1"/>
  <c r="P16" s="1"/>
  <c r="Q16" s="1"/>
  <c r="AK16"/>
  <c r="AR16"/>
  <c r="M19" l="1"/>
  <c r="AR17"/>
  <c r="AK17"/>
  <c r="AD17"/>
  <c r="O17" s="1"/>
  <c r="P17" s="1"/>
  <c r="Q17" s="1"/>
  <c r="M20" l="1"/>
  <c r="AK18"/>
  <c r="AD18"/>
  <c r="O18" s="1"/>
  <c r="P18" s="1"/>
  <c r="Q18" s="1"/>
  <c r="AR18"/>
  <c r="M21" l="1"/>
  <c r="AK19"/>
  <c r="AD19"/>
  <c r="O19" s="1"/>
  <c r="P19" s="1"/>
  <c r="Q19" s="1"/>
  <c r="AR19"/>
  <c r="M22" l="1"/>
  <c r="AR20"/>
  <c r="AK20"/>
  <c r="AD20"/>
  <c r="O20" s="1"/>
  <c r="P20" s="1"/>
  <c r="Q20" s="1"/>
  <c r="M23" l="1"/>
  <c r="AR21"/>
  <c r="AD21"/>
  <c r="O21" s="1"/>
  <c r="P21" s="1"/>
  <c r="Q21" s="1"/>
  <c r="AK21"/>
  <c r="M24" l="1"/>
  <c r="AD22"/>
  <c r="O22" s="1"/>
  <c r="P22" s="1"/>
  <c r="Q22" s="1"/>
  <c r="AR22"/>
  <c r="AK22"/>
  <c r="M25" l="1"/>
  <c r="AR23"/>
  <c r="AD23"/>
  <c r="O23" s="1"/>
  <c r="P23" s="1"/>
  <c r="Q23" s="1"/>
  <c r="AK23"/>
  <c r="M26" l="1"/>
  <c r="AD24"/>
  <c r="O24" s="1"/>
  <c r="P24" s="1"/>
  <c r="Q24" s="1"/>
  <c r="AR24"/>
  <c r="AK24"/>
  <c r="M27" l="1"/>
  <c r="AK25"/>
  <c r="AD25"/>
  <c r="O25" s="1"/>
  <c r="P25" s="1"/>
  <c r="Q25" s="1"/>
  <c r="AR25"/>
  <c r="M28" l="1"/>
  <c r="AD26"/>
  <c r="O26" s="1"/>
  <c r="P26" s="1"/>
  <c r="Q26" s="1"/>
  <c r="AK26"/>
  <c r="AR26"/>
  <c r="M29" l="1"/>
  <c r="W28"/>
  <c r="N28" s="1"/>
  <c r="AD27"/>
  <c r="O27" s="1"/>
  <c r="P27" s="1"/>
  <c r="Q27" s="1"/>
  <c r="AK27"/>
  <c r="AR27"/>
  <c r="M30" l="1"/>
  <c r="AK28"/>
  <c r="AR28"/>
  <c r="AD28"/>
  <c r="O28" s="1"/>
  <c r="P28" s="1"/>
  <c r="Q28" s="1"/>
  <c r="M31" l="1"/>
  <c r="AR29"/>
  <c r="AD29"/>
  <c r="O29" s="1"/>
  <c r="P29" s="1"/>
  <c r="Q29" s="1"/>
  <c r="AK29"/>
  <c r="M32" l="1"/>
  <c r="AD30"/>
  <c r="O30" s="1"/>
  <c r="P30" s="1"/>
  <c r="Q30" s="1"/>
  <c r="AK30"/>
  <c r="AR30"/>
  <c r="M33" l="1"/>
  <c r="AD31"/>
  <c r="O31" s="1"/>
  <c r="P31" s="1"/>
  <c r="Q31" s="1"/>
  <c r="AK31"/>
  <c r="AR31"/>
  <c r="M34" l="1"/>
  <c r="AK32"/>
  <c r="AR32"/>
  <c r="AD32"/>
  <c r="O32" s="1"/>
  <c r="P32" s="1"/>
  <c r="Q32" s="1"/>
  <c r="M35" l="1"/>
  <c r="AR33"/>
  <c r="AD33"/>
  <c r="O33" s="1"/>
  <c r="P33" s="1"/>
  <c r="Q33" s="1"/>
  <c r="AK33"/>
  <c r="M36" l="1"/>
  <c r="AD34"/>
  <c r="O34" s="1"/>
  <c r="P34" s="1"/>
  <c r="Q34" s="1"/>
  <c r="AR34"/>
  <c r="AK34"/>
  <c r="M37" l="1"/>
  <c r="AD35"/>
  <c r="O35" s="1"/>
  <c r="P35" s="1"/>
  <c r="Q35" s="1"/>
  <c r="AR35"/>
  <c r="AK35"/>
  <c r="M38" l="1"/>
  <c r="AD36"/>
  <c r="O36" s="1"/>
  <c r="P36" s="1"/>
  <c r="Q36" s="1"/>
  <c r="AR36"/>
  <c r="AK36"/>
  <c r="M39" l="1"/>
  <c r="AD37"/>
  <c r="O37" s="1"/>
  <c r="P37" s="1"/>
  <c r="Q37" s="1"/>
  <c r="AR37"/>
  <c r="AK37"/>
  <c r="M40" l="1"/>
  <c r="AD38"/>
  <c r="O38" s="1"/>
  <c r="P38" s="1"/>
  <c r="Q38" s="1"/>
  <c r="AR38"/>
  <c r="AK38"/>
  <c r="M41" l="1"/>
  <c r="AD39"/>
  <c r="O39" s="1"/>
  <c r="P39" s="1"/>
  <c r="Q39" s="1"/>
  <c r="AR39"/>
  <c r="AK39"/>
  <c r="M42" l="1"/>
  <c r="AD40"/>
  <c r="O40" s="1"/>
  <c r="P40" s="1"/>
  <c r="Q40" s="1"/>
  <c r="AR40"/>
  <c r="AK40"/>
  <c r="M43" l="1"/>
  <c r="AD41"/>
  <c r="O41" s="1"/>
  <c r="P41" s="1"/>
  <c r="Q41" s="1"/>
  <c r="AR41"/>
  <c r="AK41"/>
  <c r="M44" l="1"/>
  <c r="AR42"/>
  <c r="AD42"/>
  <c r="O42" s="1"/>
  <c r="P42" s="1"/>
  <c r="Q42" s="1"/>
  <c r="AK42"/>
  <c r="M45" l="1"/>
  <c r="AR43"/>
  <c r="AD43"/>
  <c r="O43" s="1"/>
  <c r="P43" s="1"/>
  <c r="Q43" s="1"/>
  <c r="AK43"/>
  <c r="M46" l="1"/>
  <c r="AD44"/>
  <c r="O44" s="1"/>
  <c r="P44" s="1"/>
  <c r="Q44" s="1"/>
  <c r="AR44"/>
  <c r="AK44"/>
  <c r="M47" l="1"/>
  <c r="AR45"/>
  <c r="AD45"/>
  <c r="O45" s="1"/>
  <c r="P45" s="1"/>
  <c r="Q45" s="1"/>
  <c r="AK45"/>
  <c r="M48" l="1"/>
  <c r="AR46"/>
  <c r="AD46"/>
  <c r="O46" s="1"/>
  <c r="P46" s="1"/>
  <c r="Q46" s="1"/>
  <c r="AK46"/>
  <c r="M49" l="1"/>
  <c r="AD47"/>
  <c r="O47" s="1"/>
  <c r="P47" s="1"/>
  <c r="Q47" s="1"/>
  <c r="AR47"/>
  <c r="AK47"/>
  <c r="M50" l="1"/>
  <c r="AR48"/>
  <c r="AD48"/>
  <c r="O48" s="1"/>
  <c r="P48" s="1"/>
  <c r="Q48" s="1"/>
  <c r="AK48"/>
  <c r="M51" l="1"/>
  <c r="AR49"/>
  <c r="AD49"/>
  <c r="O49" s="1"/>
  <c r="P49" s="1"/>
  <c r="Q49" s="1"/>
  <c r="AK49"/>
  <c r="M52" l="1"/>
  <c r="AD50"/>
  <c r="O50" s="1"/>
  <c r="P50" s="1"/>
  <c r="Q50" s="1"/>
  <c r="AR50"/>
  <c r="AK50"/>
  <c r="M53" l="1"/>
  <c r="AR51"/>
  <c r="AD51"/>
  <c r="O51" s="1"/>
  <c r="P51" s="1"/>
  <c r="Q51" s="1"/>
  <c r="AK51"/>
  <c r="M54" l="1"/>
  <c r="AR52"/>
  <c r="AD52"/>
  <c r="O52" s="1"/>
  <c r="P52" s="1"/>
  <c r="Q52" s="1"/>
  <c r="AK52"/>
  <c r="M55" l="1"/>
  <c r="AD53"/>
  <c r="O53" s="1"/>
  <c r="P53" s="1"/>
  <c r="Q53" s="1"/>
  <c r="AR53"/>
  <c r="AK53"/>
  <c r="M56" l="1"/>
  <c r="AR54"/>
  <c r="AD54"/>
  <c r="O54" s="1"/>
  <c r="P54" s="1"/>
  <c r="Q54" s="1"/>
  <c r="AK54"/>
  <c r="M57" l="1"/>
  <c r="AR55"/>
  <c r="AD55"/>
  <c r="O55" s="1"/>
  <c r="P55" s="1"/>
  <c r="Q55" s="1"/>
  <c r="AK55"/>
  <c r="M58" l="1"/>
  <c r="AD56"/>
  <c r="O56" s="1"/>
  <c r="P56" s="1"/>
  <c r="Q56" s="1"/>
  <c r="AR56"/>
  <c r="AK56"/>
  <c r="M59" l="1"/>
  <c r="AR57"/>
  <c r="AD57"/>
  <c r="O57" s="1"/>
  <c r="P57" s="1"/>
  <c r="Q57" s="1"/>
  <c r="AK57"/>
  <c r="M60" l="1"/>
  <c r="AR58"/>
  <c r="AD58"/>
  <c r="O58" s="1"/>
  <c r="P58" s="1"/>
  <c r="Q58" s="1"/>
  <c r="AK58"/>
  <c r="M61" l="1"/>
  <c r="AD59"/>
  <c r="O59" s="1"/>
  <c r="P59" s="1"/>
  <c r="Q59" s="1"/>
  <c r="AR59"/>
  <c r="AK59"/>
  <c r="M62" l="1"/>
  <c r="AR60"/>
  <c r="AD60"/>
  <c r="O60" s="1"/>
  <c r="P60" s="1"/>
  <c r="Q60" s="1"/>
  <c r="AK60"/>
  <c r="M63" l="1"/>
  <c r="AR61"/>
  <c r="AD61"/>
  <c r="O61" s="1"/>
  <c r="P61" s="1"/>
  <c r="Q61" s="1"/>
  <c r="AK61"/>
  <c r="M64" l="1"/>
  <c r="AD62"/>
  <c r="O62" s="1"/>
  <c r="P62" s="1"/>
  <c r="Q62" s="1"/>
  <c r="AR62"/>
  <c r="AK62"/>
  <c r="M65" l="1"/>
  <c r="AR63"/>
  <c r="AD63"/>
  <c r="O63" s="1"/>
  <c r="P63" s="1"/>
  <c r="Q63" s="1"/>
  <c r="AK63"/>
  <c r="M66" l="1"/>
  <c r="AR64"/>
  <c r="AD64"/>
  <c r="O64" s="1"/>
  <c r="P64" s="1"/>
  <c r="Q64" s="1"/>
  <c r="AK64"/>
  <c r="M67" l="1"/>
  <c r="AD65"/>
  <c r="O65" s="1"/>
  <c r="P65" s="1"/>
  <c r="Q65" s="1"/>
  <c r="AR65"/>
  <c r="AK65"/>
  <c r="M68" l="1"/>
  <c r="AR66"/>
  <c r="AD66"/>
  <c r="O66" s="1"/>
  <c r="P66" s="1"/>
  <c r="Q66" s="1"/>
  <c r="AK66"/>
  <c r="M69" l="1"/>
  <c r="AR67"/>
  <c r="AD67"/>
  <c r="O67" s="1"/>
  <c r="P67" s="1"/>
  <c r="Q67" s="1"/>
  <c r="AK67"/>
  <c r="M70" l="1"/>
  <c r="AD68"/>
  <c r="O68" s="1"/>
  <c r="P68" s="1"/>
  <c r="Q68" s="1"/>
  <c r="AR68"/>
  <c r="AK68"/>
  <c r="M71" l="1"/>
  <c r="AR69"/>
  <c r="AD69"/>
  <c r="O69" s="1"/>
  <c r="P69" s="1"/>
  <c r="Q69" s="1"/>
  <c r="AK69"/>
  <c r="M72" l="1"/>
  <c r="AD70"/>
  <c r="O70" s="1"/>
  <c r="P70" s="1"/>
  <c r="Q70" s="1"/>
  <c r="AR70"/>
  <c r="AK70"/>
  <c r="M73" l="1"/>
  <c r="AD71"/>
  <c r="O71" s="1"/>
  <c r="P71" s="1"/>
  <c r="Q71" s="1"/>
  <c r="AR71"/>
  <c r="AK71"/>
  <c r="M74" l="1"/>
  <c r="AR72"/>
  <c r="AK72"/>
  <c r="AD72"/>
  <c r="O72" s="1"/>
  <c r="P72" s="1"/>
  <c r="Q72" s="1"/>
  <c r="M75" l="1"/>
  <c r="AD73"/>
  <c r="O73" s="1"/>
  <c r="P73" s="1"/>
  <c r="Q73" s="1"/>
  <c r="AK73"/>
  <c r="AR73"/>
  <c r="M76" l="1"/>
  <c r="AD74"/>
  <c r="O74" s="1"/>
  <c r="P74" s="1"/>
  <c r="Q74" s="1"/>
  <c r="AR74"/>
  <c r="AK74"/>
  <c r="M77" l="1"/>
  <c r="AR75"/>
  <c r="AK75"/>
  <c r="AD75"/>
  <c r="O75" s="1"/>
  <c r="P75" s="1"/>
  <c r="Q75" s="1"/>
  <c r="M78" l="1"/>
  <c r="AD76"/>
  <c r="O76" s="1"/>
  <c r="P76" s="1"/>
  <c r="Q76" s="1"/>
  <c r="AK76"/>
  <c r="AR76"/>
  <c r="M79" l="1"/>
  <c r="AR77"/>
  <c r="AD77"/>
  <c r="O77" s="1"/>
  <c r="P77" s="1"/>
  <c r="Q77" s="1"/>
  <c r="AK77"/>
  <c r="M80" l="1"/>
  <c r="AD78"/>
  <c r="O78" s="1"/>
  <c r="P78" s="1"/>
  <c r="Q78" s="1"/>
  <c r="AR78"/>
  <c r="AK78"/>
  <c r="M81" l="1"/>
  <c r="AR79"/>
  <c r="AD79"/>
  <c r="O79" s="1"/>
  <c r="P79" s="1"/>
  <c r="Q79" s="1"/>
  <c r="AK79"/>
  <c r="M82" l="1"/>
  <c r="AR80"/>
  <c r="AD80"/>
  <c r="O80" s="1"/>
  <c r="P80" s="1"/>
  <c r="Q80" s="1"/>
  <c r="AK80"/>
  <c r="M83" l="1"/>
  <c r="AD81"/>
  <c r="O81" s="1"/>
  <c r="P81" s="1"/>
  <c r="Q81" s="1"/>
  <c r="AR81"/>
  <c r="AK81"/>
  <c r="M84" l="1"/>
  <c r="AR82"/>
  <c r="AD82"/>
  <c r="O82" s="1"/>
  <c r="P82" s="1"/>
  <c r="Q82" s="1"/>
  <c r="AK82"/>
  <c r="M85" l="1"/>
  <c r="AR83"/>
  <c r="AD83"/>
  <c r="O83" s="1"/>
  <c r="P83" s="1"/>
  <c r="Q83" s="1"/>
  <c r="AK83"/>
  <c r="M86" l="1"/>
  <c r="AD84"/>
  <c r="O84" s="1"/>
  <c r="P84" s="1"/>
  <c r="Q84" s="1"/>
  <c r="AR84"/>
  <c r="AK84"/>
  <c r="M87" l="1"/>
  <c r="AR85"/>
  <c r="AD85"/>
  <c r="O85" s="1"/>
  <c r="P85" s="1"/>
  <c r="Q85" s="1"/>
  <c r="AK85"/>
  <c r="M88" l="1"/>
  <c r="AR86"/>
  <c r="AK86"/>
  <c r="AD86"/>
  <c r="O86" s="1"/>
  <c r="P86" s="1"/>
  <c r="Q86" s="1"/>
  <c r="M89" l="1"/>
  <c r="AR87"/>
  <c r="AK87"/>
  <c r="AD87"/>
  <c r="O87" s="1"/>
  <c r="P87" s="1"/>
  <c r="Q87" s="1"/>
  <c r="M90" l="1"/>
  <c r="AK88"/>
  <c r="AR88"/>
  <c r="AD88"/>
  <c r="O88" s="1"/>
  <c r="P88" s="1"/>
  <c r="Q88" s="1"/>
  <c r="M91" l="1"/>
  <c r="AR89"/>
  <c r="AK89"/>
  <c r="AD89"/>
  <c r="O89" s="1"/>
  <c r="P89" s="1"/>
  <c r="Q89" s="1"/>
  <c r="M92" l="1"/>
  <c r="AR90"/>
  <c r="AK90"/>
  <c r="AD90"/>
  <c r="O90" s="1"/>
  <c r="P90" s="1"/>
  <c r="Q90" s="1"/>
  <c r="M93" l="1"/>
  <c r="AK91"/>
  <c r="AR91"/>
  <c r="AD91"/>
  <c r="O91" s="1"/>
  <c r="P91" s="1"/>
  <c r="Q91" s="1"/>
  <c r="M94" l="1"/>
  <c r="AR92"/>
  <c r="AK92"/>
  <c r="AD92"/>
  <c r="O92" s="1"/>
  <c r="P92" s="1"/>
  <c r="Q92" s="1"/>
  <c r="M95" l="1"/>
  <c r="AR93"/>
  <c r="AK93"/>
  <c r="AD93"/>
  <c r="O93" s="1"/>
  <c r="P93" s="1"/>
  <c r="Q93" s="1"/>
  <c r="M96" l="1"/>
  <c r="AK94"/>
  <c r="AR94"/>
  <c r="AD94"/>
  <c r="O94" s="1"/>
  <c r="P94" s="1"/>
  <c r="Q94" s="1"/>
  <c r="M97" l="1"/>
  <c r="AR95"/>
  <c r="AK95"/>
  <c r="AD95"/>
  <c r="O95" s="1"/>
  <c r="P95" s="1"/>
  <c r="Q95" s="1"/>
  <c r="M98" l="1"/>
  <c r="AR96"/>
  <c r="AK96"/>
  <c r="AD96"/>
  <c r="O96" s="1"/>
  <c r="P96" s="1"/>
  <c r="Q96" s="1"/>
  <c r="M99" l="1"/>
  <c r="AK97"/>
  <c r="AR97"/>
  <c r="AD97"/>
  <c r="O97" s="1"/>
  <c r="P97" s="1"/>
  <c r="Q97" s="1"/>
  <c r="M100" l="1"/>
  <c r="AR98"/>
  <c r="AK98"/>
  <c r="AD98"/>
  <c r="O98" s="1"/>
  <c r="P98" s="1"/>
  <c r="Q98" s="1"/>
  <c r="M101" l="1"/>
  <c r="AR99"/>
  <c r="AK99"/>
  <c r="AD99"/>
  <c r="O99" s="1"/>
  <c r="P99" s="1"/>
  <c r="Q99" s="1"/>
  <c r="M102" l="1"/>
  <c r="AK100"/>
  <c r="AR100"/>
  <c r="AD100"/>
  <c r="O100" s="1"/>
  <c r="P100" s="1"/>
  <c r="Q100" s="1"/>
  <c r="M103" l="1"/>
  <c r="AR101"/>
  <c r="AK101"/>
  <c r="AD101"/>
  <c r="O101" s="1"/>
  <c r="P101" s="1"/>
  <c r="Q101" s="1"/>
  <c r="M104" l="1"/>
  <c r="AR102"/>
  <c r="AK102"/>
  <c r="AD102"/>
  <c r="O102" s="1"/>
  <c r="P102" s="1"/>
  <c r="Q102" s="1"/>
  <c r="M105" l="1"/>
  <c r="AK103"/>
  <c r="AR103"/>
  <c r="AD103"/>
  <c r="O103" s="1"/>
  <c r="P103" s="1"/>
  <c r="Q103" s="1"/>
  <c r="M106" l="1"/>
  <c r="AR104"/>
  <c r="AK104"/>
  <c r="AD104"/>
  <c r="O104" s="1"/>
  <c r="P104" s="1"/>
  <c r="Q104" s="1"/>
  <c r="M107" l="1"/>
  <c r="AR105"/>
  <c r="AK105"/>
  <c r="AD105"/>
  <c r="O105" s="1"/>
  <c r="P105" s="1"/>
  <c r="Q105" s="1"/>
  <c r="M108" l="1"/>
  <c r="AK106"/>
  <c r="AR106"/>
  <c r="AD106"/>
  <c r="O106" s="1"/>
  <c r="P106" s="1"/>
  <c r="Q106" s="1"/>
  <c r="M109" l="1"/>
  <c r="AR107"/>
  <c r="AD107"/>
  <c r="O107" s="1"/>
  <c r="P107" s="1"/>
  <c r="Q107" s="1"/>
  <c r="AK107"/>
  <c r="M110" l="1"/>
  <c r="AD108"/>
  <c r="O108" s="1"/>
  <c r="P108" s="1"/>
  <c r="Q108" s="1"/>
  <c r="AR108"/>
  <c r="AK108"/>
  <c r="M111" l="1"/>
  <c r="AD109"/>
  <c r="O109" s="1"/>
  <c r="P109" s="1"/>
  <c r="Q109" s="1"/>
  <c r="AR109"/>
  <c r="AK109"/>
  <c r="M112" l="1"/>
  <c r="AR110"/>
  <c r="AD110"/>
  <c r="O110" s="1"/>
  <c r="P110" s="1"/>
  <c r="Q110" s="1"/>
  <c r="AK110"/>
  <c r="M113" l="1"/>
  <c r="AD111"/>
  <c r="O111" s="1"/>
  <c r="P111" s="1"/>
  <c r="Q111" s="1"/>
  <c r="AR111"/>
  <c r="AK111"/>
  <c r="M114" l="1"/>
  <c r="AD112"/>
  <c r="O112" s="1"/>
  <c r="P112" s="1"/>
  <c r="Q112" s="1"/>
  <c r="AR112"/>
  <c r="AK112"/>
  <c r="M115" l="1"/>
  <c r="AR113"/>
  <c r="AD113"/>
  <c r="O113" s="1"/>
  <c r="P113" s="1"/>
  <c r="Q113" s="1"/>
  <c r="AK113"/>
  <c r="M116" l="1"/>
  <c r="AD114"/>
  <c r="O114" s="1"/>
  <c r="P114" s="1"/>
  <c r="Q114" s="1"/>
  <c r="AR114"/>
  <c r="AK114"/>
  <c r="M117" l="1"/>
  <c r="AD115"/>
  <c r="O115" s="1"/>
  <c r="P115" s="1"/>
  <c r="Q115" s="1"/>
  <c r="AR115"/>
  <c r="AK115"/>
  <c r="M118" l="1"/>
  <c r="AR116"/>
  <c r="AD116"/>
  <c r="O116" s="1"/>
  <c r="P116" s="1"/>
  <c r="Q116" s="1"/>
  <c r="AK116"/>
  <c r="M119" l="1"/>
  <c r="AD117"/>
  <c r="O117" s="1"/>
  <c r="P117" s="1"/>
  <c r="Q117" s="1"/>
  <c r="AR117"/>
  <c r="AK117"/>
  <c r="M120" l="1"/>
  <c r="AD118"/>
  <c r="O118" s="1"/>
  <c r="P118" s="1"/>
  <c r="Q118" s="1"/>
  <c r="AR118"/>
  <c r="AK118"/>
  <c r="M121" l="1"/>
  <c r="AR119"/>
  <c r="AD119"/>
  <c r="O119" s="1"/>
  <c r="P119" s="1"/>
  <c r="Q119" s="1"/>
  <c r="AK119"/>
  <c r="M122" l="1"/>
  <c r="AD120"/>
  <c r="O120" s="1"/>
  <c r="P120" s="1"/>
  <c r="Q120" s="1"/>
  <c r="AR120"/>
  <c r="AK120"/>
  <c r="M123" l="1"/>
  <c r="AD121"/>
  <c r="O121" s="1"/>
  <c r="P121" s="1"/>
  <c r="Q121" s="1"/>
  <c r="AR121"/>
  <c r="AK121"/>
  <c r="M124" l="1"/>
  <c r="AR122"/>
  <c r="AD122"/>
  <c r="O122" s="1"/>
  <c r="P122" s="1"/>
  <c r="Q122" s="1"/>
  <c r="AK122"/>
  <c r="M125" l="1"/>
  <c r="AD123"/>
  <c r="O123" s="1"/>
  <c r="P123" s="1"/>
  <c r="Q123" s="1"/>
  <c r="AR123"/>
  <c r="AK123"/>
  <c r="M126" l="1"/>
  <c r="AR124"/>
  <c r="AD124"/>
  <c r="O124" s="1"/>
  <c r="P124" s="1"/>
  <c r="Q124" s="1"/>
  <c r="AK124"/>
  <c r="M127" l="1"/>
  <c r="AR125"/>
  <c r="AD125"/>
  <c r="O125" s="1"/>
  <c r="P125" s="1"/>
  <c r="Q125" s="1"/>
  <c r="AK125"/>
  <c r="M128" l="1"/>
  <c r="AD126"/>
  <c r="O126" s="1"/>
  <c r="P126" s="1"/>
  <c r="Q126" s="1"/>
  <c r="AR126"/>
  <c r="AK126"/>
  <c r="M129" l="1"/>
  <c r="AR127"/>
  <c r="AD127"/>
  <c r="O127" s="1"/>
  <c r="P127" s="1"/>
  <c r="Q127" s="1"/>
  <c r="AK127"/>
  <c r="M130" l="1"/>
  <c r="AR128"/>
  <c r="AD128"/>
  <c r="O128" s="1"/>
  <c r="P128" s="1"/>
  <c r="Q128" s="1"/>
  <c r="AK128"/>
  <c r="M131" l="1"/>
  <c r="AD129"/>
  <c r="O129" s="1"/>
  <c r="P129" s="1"/>
  <c r="Q129" s="1"/>
  <c r="AR129"/>
  <c r="AK129"/>
  <c r="M132" l="1"/>
  <c r="AR130"/>
  <c r="AD130"/>
  <c r="O130" s="1"/>
  <c r="P130" s="1"/>
  <c r="Q130" s="1"/>
  <c r="AK130"/>
  <c r="M133" l="1"/>
  <c r="AR131"/>
  <c r="AD131"/>
  <c r="O131" s="1"/>
  <c r="P131" s="1"/>
  <c r="Q131" s="1"/>
  <c r="AK131"/>
  <c r="M134" l="1"/>
  <c r="AD132"/>
  <c r="O132" s="1"/>
  <c r="P132" s="1"/>
  <c r="Q132" s="1"/>
  <c r="AR132"/>
  <c r="AK132"/>
  <c r="M135" l="1"/>
  <c r="AR133"/>
  <c r="AD133"/>
  <c r="O133" s="1"/>
  <c r="P133" s="1"/>
  <c r="Q133" s="1"/>
  <c r="AK133"/>
  <c r="M136" l="1"/>
  <c r="AD134"/>
  <c r="O134" s="1"/>
  <c r="P134" s="1"/>
  <c r="Q134" s="1"/>
  <c r="AR134"/>
  <c r="AK134"/>
  <c r="M137" l="1"/>
  <c r="AD135"/>
  <c r="O135" s="1"/>
  <c r="P135" s="1"/>
  <c r="Q135" s="1"/>
  <c r="AK135"/>
  <c r="AR135"/>
  <c r="M138" l="1"/>
  <c r="AK136"/>
  <c r="AD136"/>
  <c r="O136" s="1"/>
  <c r="P136" s="1"/>
  <c r="Q136" s="1"/>
  <c r="AR136"/>
  <c r="M139" l="1"/>
  <c r="AD137"/>
  <c r="O137" s="1"/>
  <c r="P137" s="1"/>
  <c r="Q137" s="1"/>
  <c r="AK137"/>
  <c r="AR137"/>
  <c r="M140" l="1"/>
  <c r="AD138"/>
  <c r="O138" s="1"/>
  <c r="P138" s="1"/>
  <c r="Q138" s="1"/>
  <c r="AK138"/>
  <c r="AR138"/>
  <c r="M141" l="1"/>
  <c r="AK139"/>
  <c r="AD139"/>
  <c r="O139" s="1"/>
  <c r="P139" s="1"/>
  <c r="Q139" s="1"/>
  <c r="AR139"/>
  <c r="M142" l="1"/>
  <c r="AD140"/>
  <c r="O140" s="1"/>
  <c r="P140" s="1"/>
  <c r="Q140" s="1"/>
  <c r="AK140"/>
  <c r="AR140"/>
  <c r="M143" l="1"/>
  <c r="AD141"/>
  <c r="O141" s="1"/>
  <c r="P141" s="1"/>
  <c r="Q141" s="1"/>
  <c r="AK141"/>
  <c r="AR141"/>
  <c r="M144" l="1"/>
  <c r="AK142"/>
  <c r="AR142"/>
  <c r="AD142"/>
  <c r="O142" s="1"/>
  <c r="P142" s="1"/>
  <c r="Q142" s="1"/>
  <c r="M145" l="1"/>
  <c r="AD143"/>
  <c r="O143" s="1"/>
  <c r="P143" s="1"/>
  <c r="Q143" s="1"/>
  <c r="AR143"/>
  <c r="AK143"/>
  <c r="M146" l="1"/>
  <c r="AD144"/>
  <c r="O144" s="1"/>
  <c r="P144" s="1"/>
  <c r="Q144" s="1"/>
  <c r="AK144"/>
  <c r="AR144"/>
  <c r="M147" l="1"/>
  <c r="AK145"/>
  <c r="AR145"/>
  <c r="AD145"/>
  <c r="O145" s="1"/>
  <c r="P145" s="1"/>
  <c r="Q145" s="1"/>
  <c r="M148" l="1"/>
  <c r="AR146"/>
  <c r="AK146"/>
  <c r="AD146"/>
  <c r="O146" s="1"/>
  <c r="P146" s="1"/>
  <c r="Q146" s="1"/>
  <c r="M149" l="1"/>
  <c r="AR147"/>
  <c r="AD147"/>
  <c r="O147" s="1"/>
  <c r="P147" s="1"/>
  <c r="Q147" s="1"/>
  <c r="AK147"/>
  <c r="M150" l="1"/>
  <c r="AR148"/>
  <c r="AD148"/>
  <c r="O148" s="1"/>
  <c r="P148" s="1"/>
  <c r="Q148" s="1"/>
  <c r="AK148"/>
  <c r="M151" l="1"/>
  <c r="AD149"/>
  <c r="O149" s="1"/>
  <c r="P149" s="1"/>
  <c r="Q149" s="1"/>
  <c r="AK149"/>
  <c r="AR149"/>
  <c r="M152" l="1"/>
  <c r="AD150"/>
  <c r="O150" s="1"/>
  <c r="P150" s="1"/>
  <c r="Q150" s="1"/>
  <c r="AK150"/>
  <c r="AR150"/>
  <c r="M153" l="1"/>
  <c r="AD151"/>
  <c r="O151" s="1"/>
  <c r="P151" s="1"/>
  <c r="Q151" s="1"/>
  <c r="AK151"/>
  <c r="AR151"/>
  <c r="M154" l="1"/>
  <c r="AK152"/>
  <c r="AD152"/>
  <c r="O152" s="1"/>
  <c r="P152" s="1"/>
  <c r="Q152" s="1"/>
  <c r="AR152"/>
  <c r="M155" l="1"/>
  <c r="AK153"/>
  <c r="AR153"/>
  <c r="AD153"/>
  <c r="O153" s="1"/>
  <c r="P153" s="1"/>
  <c r="Q153" s="1"/>
  <c r="M156" l="1"/>
  <c r="AR154"/>
  <c r="AK154"/>
  <c r="AD154"/>
  <c r="O154" s="1"/>
  <c r="P154" s="1"/>
  <c r="Q154" s="1"/>
  <c r="M157" l="1"/>
  <c r="AK155"/>
  <c r="AR155"/>
  <c r="AD155"/>
  <c r="O155" s="1"/>
  <c r="P155" s="1"/>
  <c r="Q155" s="1"/>
  <c r="M158" l="1"/>
  <c r="AK156"/>
  <c r="AR156"/>
  <c r="AD156"/>
  <c r="O156" s="1"/>
  <c r="P156" s="1"/>
  <c r="Q156" s="1"/>
  <c r="M159" l="1"/>
  <c r="AD157"/>
  <c r="O157" s="1"/>
  <c r="P157" s="1"/>
  <c r="Q157" s="1"/>
  <c r="AK157"/>
  <c r="AR157"/>
  <c r="M160" l="1"/>
  <c r="AD158"/>
  <c r="O158" s="1"/>
  <c r="P158" s="1"/>
  <c r="Q158" s="1"/>
  <c r="AR158"/>
  <c r="AK158"/>
  <c r="M161" l="1"/>
  <c r="AK159"/>
  <c r="AD159"/>
  <c r="O159" s="1"/>
  <c r="P159" s="1"/>
  <c r="Q159" s="1"/>
  <c r="AR159"/>
  <c r="M162" l="1"/>
  <c r="AR160"/>
  <c r="AK160"/>
  <c r="AD160"/>
  <c r="O160" s="1"/>
  <c r="P160" s="1"/>
  <c r="Q160" s="1"/>
  <c r="M163" l="1"/>
  <c r="AD161"/>
  <c r="O161" s="1"/>
  <c r="P161" s="1"/>
  <c r="Q161" s="1"/>
  <c r="AR161"/>
  <c r="AK161"/>
  <c r="M164" l="1"/>
  <c r="AD162"/>
  <c r="O162" s="1"/>
  <c r="P162" s="1"/>
  <c r="Q162" s="1"/>
  <c r="AK162"/>
  <c r="AR162"/>
  <c r="M165" l="1"/>
  <c r="AK163"/>
  <c r="AD163"/>
  <c r="O163" s="1"/>
  <c r="P163" s="1"/>
  <c r="Q163" s="1"/>
  <c r="AR163"/>
  <c r="M166" l="1"/>
  <c r="AK164"/>
  <c r="AD164"/>
  <c r="O164" s="1"/>
  <c r="P164" s="1"/>
  <c r="Q164" s="1"/>
  <c r="AR164"/>
  <c r="M167" l="1"/>
  <c r="AD165"/>
  <c r="O165" s="1"/>
  <c r="P165" s="1"/>
  <c r="Q165" s="1"/>
  <c r="AK165"/>
  <c r="AR165"/>
  <c r="M168" l="1"/>
  <c r="AD166"/>
  <c r="O166" s="1"/>
  <c r="P166" s="1"/>
  <c r="Q166" s="1"/>
  <c r="AK166"/>
  <c r="AR166"/>
  <c r="M169" l="1"/>
  <c r="AR167"/>
  <c r="AD167"/>
  <c r="O167" s="1"/>
  <c r="P167" s="1"/>
  <c r="Q167" s="1"/>
  <c r="AK167"/>
  <c r="M170" l="1"/>
  <c r="AK168"/>
  <c r="AR168"/>
  <c r="AD168"/>
  <c r="O168" s="1"/>
  <c r="P168" s="1"/>
  <c r="Q168" s="1"/>
  <c r="M171" l="1"/>
  <c r="AK169"/>
  <c r="AD169"/>
  <c r="O169" s="1"/>
  <c r="P169" s="1"/>
  <c r="Q169" s="1"/>
  <c r="AR169"/>
  <c r="M172" l="1"/>
  <c r="AD170"/>
  <c r="O170" s="1"/>
  <c r="P170" s="1"/>
  <c r="Q170" s="1"/>
  <c r="AK170"/>
  <c r="AR170"/>
  <c r="M173" l="1"/>
  <c r="AR171"/>
  <c r="AD171"/>
  <c r="O171" s="1"/>
  <c r="P171" s="1"/>
  <c r="Q171" s="1"/>
  <c r="AK171"/>
  <c r="M174" l="1"/>
  <c r="AK172"/>
  <c r="AR172"/>
  <c r="AD172"/>
  <c r="O172" s="1"/>
  <c r="P172" s="1"/>
  <c r="Q172" s="1"/>
  <c r="M175" l="1"/>
  <c r="AD173"/>
  <c r="O173" s="1"/>
  <c r="P173" s="1"/>
  <c r="Q173" s="1"/>
  <c r="AK173"/>
  <c r="AR173"/>
  <c r="M176" l="1"/>
  <c r="AK174"/>
  <c r="AD174"/>
  <c r="O174" s="1"/>
  <c r="P174" s="1"/>
  <c r="Q174" s="1"/>
  <c r="AR174"/>
  <c r="M177" l="1"/>
  <c r="AD175"/>
  <c r="O175" s="1"/>
  <c r="P175" s="1"/>
  <c r="Q175" s="1"/>
  <c r="AK175"/>
  <c r="AR175"/>
  <c r="M178" l="1"/>
  <c r="AR176"/>
  <c r="AD176"/>
  <c r="O176" s="1"/>
  <c r="P176" s="1"/>
  <c r="Q176" s="1"/>
  <c r="AK176"/>
  <c r="M179" l="1"/>
  <c r="AR177"/>
  <c r="AK177"/>
  <c r="AD177"/>
  <c r="O177" s="1"/>
  <c r="P177" s="1"/>
  <c r="Q177" s="1"/>
  <c r="M180" l="1"/>
  <c r="AR178"/>
  <c r="AK178"/>
  <c r="AD178"/>
  <c r="O178" s="1"/>
  <c r="P178" s="1"/>
  <c r="Q178" s="1"/>
  <c r="M181" l="1"/>
  <c r="AR179"/>
  <c r="AD179"/>
  <c r="O179" s="1"/>
  <c r="P179" s="1"/>
  <c r="Q179" s="1"/>
  <c r="AK179"/>
  <c r="M182" l="1"/>
  <c r="AR180"/>
  <c r="AD180"/>
  <c r="O180" s="1"/>
  <c r="P180" s="1"/>
  <c r="Q180" s="1"/>
  <c r="AK180"/>
  <c r="M183" l="1"/>
  <c r="AR181"/>
  <c r="AD181"/>
  <c r="O181" s="1"/>
  <c r="P181" s="1"/>
  <c r="Q181" s="1"/>
  <c r="AK181"/>
  <c r="M184" l="1"/>
  <c r="AD182"/>
  <c r="O182" s="1"/>
  <c r="P182" s="1"/>
  <c r="Q182" s="1"/>
  <c r="AR182"/>
  <c r="AK182"/>
  <c r="M185" l="1"/>
  <c r="AR183"/>
  <c r="AD183"/>
  <c r="O183" s="1"/>
  <c r="P183" s="1"/>
  <c r="Q183" s="1"/>
  <c r="AK183"/>
  <c r="M186" l="1"/>
  <c r="AR184"/>
  <c r="AD184"/>
  <c r="O184" s="1"/>
  <c r="P184" s="1"/>
  <c r="Q184" s="1"/>
  <c r="AK184"/>
  <c r="M187" l="1"/>
  <c r="AD185"/>
  <c r="O185" s="1"/>
  <c r="P185" s="1"/>
  <c r="Q185" s="1"/>
  <c r="AR185"/>
  <c r="AK185"/>
  <c r="M188" l="1"/>
  <c r="AR186"/>
  <c r="AD186"/>
  <c r="O186" s="1"/>
  <c r="P186" s="1"/>
  <c r="Q186" s="1"/>
  <c r="AK186"/>
  <c r="M189" l="1"/>
  <c r="AR187"/>
  <c r="AK187"/>
  <c r="AD187"/>
  <c r="O187" s="1"/>
  <c r="P187" s="1"/>
  <c r="Q187" s="1"/>
  <c r="M190" l="1"/>
  <c r="AD188"/>
  <c r="O188" s="1"/>
  <c r="P188" s="1"/>
  <c r="Q188" s="1"/>
  <c r="AR188"/>
  <c r="AK188"/>
  <c r="M191" l="1"/>
  <c r="AD189"/>
  <c r="O189" s="1"/>
  <c r="P189" s="1"/>
  <c r="Q189" s="1"/>
  <c r="AK189"/>
  <c r="AR189"/>
  <c r="M192" l="1"/>
  <c r="AK190"/>
  <c r="AD190"/>
  <c r="O190" s="1"/>
  <c r="P190" s="1"/>
  <c r="Q190" s="1"/>
  <c r="AR190"/>
  <c r="M193" l="1"/>
  <c r="AD191"/>
  <c r="O191" s="1"/>
  <c r="P191" s="1"/>
  <c r="Q191" s="1"/>
  <c r="AK191"/>
  <c r="AR191"/>
  <c r="M194" l="1"/>
  <c r="AR192"/>
  <c r="AD192"/>
  <c r="O192" s="1"/>
  <c r="P192" s="1"/>
  <c r="Q192" s="1"/>
  <c r="AK192"/>
  <c r="M195" l="1"/>
  <c r="AR193"/>
  <c r="AK193"/>
  <c r="AD193"/>
  <c r="O193" s="1"/>
  <c r="P193" s="1"/>
  <c r="Q193" s="1"/>
  <c r="M196" l="1"/>
  <c r="AK194"/>
  <c r="AR194"/>
  <c r="AD194"/>
  <c r="O194" s="1"/>
  <c r="P194" s="1"/>
  <c r="Q194" s="1"/>
  <c r="M197" l="1"/>
  <c r="AK195"/>
  <c r="AD195"/>
  <c r="O195" s="1"/>
  <c r="P195" s="1"/>
  <c r="Q195" s="1"/>
  <c r="AR195"/>
  <c r="M198" l="1"/>
  <c r="AD196"/>
  <c r="O196" s="1"/>
  <c r="P196" s="1"/>
  <c r="Q196" s="1"/>
  <c r="AK196"/>
  <c r="AR196"/>
  <c r="M199" l="1"/>
  <c r="AD197"/>
  <c r="O197" s="1"/>
  <c r="P197" s="1"/>
  <c r="Q197" s="1"/>
  <c r="AK197"/>
  <c r="AR197"/>
  <c r="M200" l="1"/>
  <c r="AK198"/>
  <c r="AR198"/>
  <c r="AD198"/>
  <c r="O198" s="1"/>
  <c r="P198" s="1"/>
  <c r="Q198" s="1"/>
  <c r="M201" l="1"/>
  <c r="AK199"/>
  <c r="AD199"/>
  <c r="O199" s="1"/>
  <c r="P199" s="1"/>
  <c r="Q199" s="1"/>
  <c r="AR199"/>
  <c r="M202" l="1"/>
  <c r="AD200"/>
  <c r="O200" s="1"/>
  <c r="P200" s="1"/>
  <c r="Q200" s="1"/>
  <c r="AK200"/>
  <c r="AR200"/>
  <c r="M203" l="1"/>
  <c r="AK201"/>
  <c r="AR201"/>
  <c r="AD201"/>
  <c r="O201" s="1"/>
  <c r="P201" s="1"/>
  <c r="Q201" s="1"/>
  <c r="M204" l="1"/>
  <c r="AR202"/>
  <c r="AD202"/>
  <c r="O202" s="1"/>
  <c r="P202" s="1"/>
  <c r="Q202" s="1"/>
  <c r="AK202"/>
  <c r="M205" l="1"/>
  <c r="AD203"/>
  <c r="O203" s="1"/>
  <c r="P203" s="1"/>
  <c r="Q203" s="1"/>
  <c r="AR203"/>
  <c r="AK203"/>
  <c r="M206" l="1"/>
  <c r="AK204"/>
  <c r="AD204"/>
  <c r="O204" s="1"/>
  <c r="P204" s="1"/>
  <c r="Q204" s="1"/>
  <c r="AR204"/>
  <c r="M207" l="1"/>
  <c r="AR205"/>
  <c r="AK205"/>
  <c r="AD205"/>
  <c r="O205" s="1"/>
  <c r="P205" s="1"/>
  <c r="Q205" s="1"/>
  <c r="M208" l="1"/>
  <c r="AR206"/>
  <c r="AK206"/>
  <c r="AD206"/>
  <c r="O206" s="1"/>
  <c r="P206" s="1"/>
  <c r="Q206" s="1"/>
  <c r="M209" l="1"/>
  <c r="AK207"/>
  <c r="AD207"/>
  <c r="O207" s="1"/>
  <c r="P207" s="1"/>
  <c r="Q207" s="1"/>
  <c r="AR207"/>
  <c r="M210" l="1"/>
  <c r="AK208"/>
  <c r="AR208"/>
  <c r="AD208"/>
  <c r="O208" s="1"/>
  <c r="P208" s="1"/>
  <c r="Q208" s="1"/>
  <c r="M211" l="1"/>
  <c r="AK209"/>
  <c r="AD209"/>
  <c r="O209" s="1"/>
  <c r="P209" s="1"/>
  <c r="Q209" s="1"/>
  <c r="AR209"/>
  <c r="M212" l="1"/>
  <c r="AK210"/>
  <c r="AR210"/>
  <c r="AD210"/>
  <c r="O210" s="1"/>
  <c r="P210" s="1"/>
  <c r="Q210" s="1"/>
  <c r="M213" l="1"/>
  <c r="AR211"/>
  <c r="AK211"/>
  <c r="AD211"/>
  <c r="O211" s="1"/>
  <c r="P211" s="1"/>
  <c r="Q211" s="1"/>
  <c r="M214" l="1"/>
  <c r="AR212"/>
  <c r="AD212"/>
  <c r="O212" s="1"/>
  <c r="P212" s="1"/>
  <c r="Q212" s="1"/>
  <c r="AK212"/>
  <c r="M215" l="1"/>
  <c r="AR213"/>
  <c r="AD213"/>
  <c r="O213" s="1"/>
  <c r="P213" s="1"/>
  <c r="Q213" s="1"/>
  <c r="AK213"/>
  <c r="M216" l="1"/>
  <c r="AR214"/>
  <c r="AD214"/>
  <c r="O214" s="1"/>
  <c r="P214" s="1"/>
  <c r="Q214" s="1"/>
  <c r="AK214"/>
  <c r="M217" l="1"/>
  <c r="AR215"/>
  <c r="AK215"/>
  <c r="AD215"/>
  <c r="O215" s="1"/>
  <c r="P215" s="1"/>
  <c r="Q215" s="1"/>
  <c r="M218" l="1"/>
  <c r="AR216"/>
  <c r="AD216"/>
  <c r="O216" s="1"/>
  <c r="P216" s="1"/>
  <c r="Q216" s="1"/>
  <c r="AK216"/>
  <c r="M219" l="1"/>
  <c r="AK217"/>
  <c r="AR217"/>
  <c r="AD217"/>
  <c r="O217" s="1"/>
  <c r="P217" s="1"/>
  <c r="Q217" s="1"/>
  <c r="M220" l="1"/>
  <c r="AR218"/>
  <c r="AD218"/>
  <c r="O218" s="1"/>
  <c r="P218" s="1"/>
  <c r="Q218" s="1"/>
  <c r="AK218"/>
  <c r="M221" l="1"/>
  <c r="AR219"/>
  <c r="AK219"/>
  <c r="AD219"/>
  <c r="O219" s="1"/>
  <c r="P219" s="1"/>
  <c r="Q219" s="1"/>
  <c r="M222" l="1"/>
  <c r="AK220"/>
  <c r="AR220"/>
  <c r="AD220"/>
  <c r="O220" s="1"/>
  <c r="P220" s="1"/>
  <c r="Q220" s="1"/>
  <c r="M223" l="1"/>
  <c r="AR221"/>
  <c r="AD221"/>
  <c r="O221" s="1"/>
  <c r="P221" s="1"/>
  <c r="Q221" s="1"/>
  <c r="AK221"/>
  <c r="M224" l="1"/>
  <c r="AR222"/>
  <c r="AK222"/>
  <c r="AD222"/>
  <c r="O222" s="1"/>
  <c r="P222" s="1"/>
  <c r="Q222" s="1"/>
  <c r="M225" l="1"/>
  <c r="AD223"/>
  <c r="O223" s="1"/>
  <c r="P223" s="1"/>
  <c r="Q223" s="1"/>
  <c r="AR223"/>
  <c r="AK223"/>
  <c r="M226" l="1"/>
  <c r="AK224"/>
  <c r="AR224"/>
  <c r="AD224"/>
  <c r="O224" s="1"/>
  <c r="P224" s="1"/>
  <c r="Q224" s="1"/>
  <c r="M227" l="1"/>
  <c r="AD225"/>
  <c r="O225" s="1"/>
  <c r="P225" s="1"/>
  <c r="Q225" s="1"/>
  <c r="AK225"/>
  <c r="AR225"/>
  <c r="M228" l="1"/>
  <c r="AK226"/>
  <c r="AD226"/>
  <c r="O226" s="1"/>
  <c r="P226" s="1"/>
  <c r="Q226" s="1"/>
  <c r="AR226"/>
  <c r="M229" l="1"/>
  <c r="AD227"/>
  <c r="O227" s="1"/>
  <c r="P227" s="1"/>
  <c r="Q227" s="1"/>
  <c r="AR227"/>
  <c r="AK227"/>
  <c r="M230" l="1"/>
  <c r="AD228"/>
  <c r="O228" s="1"/>
  <c r="P228" s="1"/>
  <c r="Q228" s="1"/>
  <c r="AK228"/>
  <c r="AR228"/>
  <c r="M231" l="1"/>
  <c r="AR229"/>
  <c r="AD229"/>
  <c r="O229" s="1"/>
  <c r="P229" s="1"/>
  <c r="Q229" s="1"/>
  <c r="AK229"/>
  <c r="M232" l="1"/>
  <c r="AR230"/>
  <c r="AD230"/>
  <c r="O230" s="1"/>
  <c r="P230" s="1"/>
  <c r="Q230" s="1"/>
  <c r="AK230"/>
  <c r="M233" l="1"/>
  <c r="AR231"/>
  <c r="AK231"/>
  <c r="AD231"/>
  <c r="O231" s="1"/>
  <c r="P231" s="1"/>
  <c r="Q231" s="1"/>
  <c r="M234" l="1"/>
  <c r="AK232"/>
  <c r="AD232"/>
  <c r="O232" s="1"/>
  <c r="P232" s="1"/>
  <c r="Q232" s="1"/>
  <c r="AR232"/>
  <c r="M235" l="1"/>
  <c r="AK233"/>
  <c r="AD233"/>
  <c r="O233" s="1"/>
  <c r="P233" s="1"/>
  <c r="Q233" s="1"/>
  <c r="AR233"/>
  <c r="M236" l="1"/>
  <c r="AD234"/>
  <c r="O234" s="1"/>
  <c r="P234" s="1"/>
  <c r="Q234" s="1"/>
  <c r="AR234"/>
  <c r="AK234"/>
  <c r="M237" l="1"/>
  <c r="AK235"/>
  <c r="AD235"/>
  <c r="O235" s="1"/>
  <c r="P235" s="1"/>
  <c r="Q235" s="1"/>
  <c r="AR235"/>
  <c r="M238" l="1"/>
  <c r="AD236"/>
  <c r="O236" s="1"/>
  <c r="P236" s="1"/>
  <c r="Q236" s="1"/>
  <c r="AR236"/>
  <c r="AK236"/>
  <c r="M239" l="1"/>
  <c r="AR237"/>
  <c r="AD237"/>
  <c r="O237" s="1"/>
  <c r="P237" s="1"/>
  <c r="Q237" s="1"/>
  <c r="AK237"/>
  <c r="M240" l="1"/>
  <c r="AD238"/>
  <c r="O238" s="1"/>
  <c r="P238" s="1"/>
  <c r="Q238" s="1"/>
  <c r="AR238"/>
  <c r="AK238"/>
  <c r="M241" l="1"/>
  <c r="AD239"/>
  <c r="O239" s="1"/>
  <c r="P239" s="1"/>
  <c r="Q239" s="1"/>
  <c r="AK239"/>
  <c r="AR239"/>
  <c r="M242" l="1"/>
  <c r="AD240"/>
  <c r="O240" s="1"/>
  <c r="P240" s="1"/>
  <c r="Q240" s="1"/>
  <c r="AR240"/>
  <c r="AK240"/>
  <c r="M243" l="1"/>
  <c r="AR241"/>
  <c r="AK241"/>
  <c r="AD241"/>
  <c r="O241" s="1"/>
  <c r="P241" s="1"/>
  <c r="Q241" s="1"/>
  <c r="M244" l="1"/>
  <c r="AK242"/>
  <c r="AD242"/>
  <c r="O242" s="1"/>
  <c r="P242" s="1"/>
  <c r="Q242" s="1"/>
  <c r="AR242"/>
  <c r="M245" l="1"/>
  <c r="AD243"/>
  <c r="O243" s="1"/>
  <c r="P243" s="1"/>
  <c r="Q243" s="1"/>
  <c r="AK243"/>
  <c r="AR243"/>
  <c r="M246" l="1"/>
  <c r="AR244"/>
  <c r="AD244"/>
  <c r="O244" s="1"/>
  <c r="P244" s="1"/>
  <c r="Q244" s="1"/>
  <c r="AK244"/>
  <c r="M247" l="1"/>
  <c r="AK245"/>
  <c r="AR245"/>
  <c r="AD245"/>
  <c r="O245" s="1"/>
  <c r="P245" s="1"/>
  <c r="Q245" s="1"/>
  <c r="M248" l="1"/>
  <c r="AK246"/>
  <c r="AD246"/>
  <c r="O246" s="1"/>
  <c r="P246" s="1"/>
  <c r="Q246" s="1"/>
  <c r="AR246"/>
  <c r="M249" l="1"/>
  <c r="AD247"/>
  <c r="O247" s="1"/>
  <c r="P247" s="1"/>
  <c r="Q247" s="1"/>
  <c r="AR247"/>
  <c r="AK247"/>
  <c r="M250" l="1"/>
  <c r="AR248"/>
  <c r="AK248"/>
  <c r="AD248"/>
  <c r="O248" s="1"/>
  <c r="P248" s="1"/>
  <c r="Q248" s="1"/>
  <c r="M251" l="1"/>
  <c r="AK249"/>
  <c r="AD249"/>
  <c r="O249" s="1"/>
  <c r="P249" s="1"/>
  <c r="Q249" s="1"/>
  <c r="AR249"/>
  <c r="M252" l="1"/>
  <c r="AK250"/>
  <c r="AR250"/>
  <c r="AD250"/>
  <c r="O250" s="1"/>
  <c r="P250" s="1"/>
  <c r="Q250" s="1"/>
  <c r="M253" l="1"/>
  <c r="AD251"/>
  <c r="O251" s="1"/>
  <c r="P251" s="1"/>
  <c r="Q251" s="1"/>
  <c r="AK251"/>
  <c r="AR251"/>
  <c r="AD252" l="1"/>
  <c r="O252" s="1"/>
  <c r="P252" s="1"/>
  <c r="Q252" s="1"/>
  <c r="AK252"/>
  <c r="AR252"/>
  <c r="AD253" l="1"/>
  <c r="O253" s="1"/>
  <c r="P253" s="1"/>
  <c r="Q253" s="1"/>
  <c r="AR253"/>
  <c r="AK253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Q254" l="1"/>
</calcChain>
</file>

<file path=xl/sharedStrings.xml><?xml version="1.0" encoding="utf-8"?>
<sst xmlns="http://schemas.openxmlformats.org/spreadsheetml/2006/main" count="152" uniqueCount="101">
  <si>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</si>
  <si>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</si>
  <si>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</si>
  <si>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</si>
  <si>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</si>
  <si>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</si>
  <si>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</si>
  <si>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</si>
  <si>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</si>
  <si>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</si>
  <si>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</si>
  <si>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</si>
  <si>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</si>
  <si>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</si>
  <si>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</si>
  <si>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</si>
  <si>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</si>
  <si>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</si>
  <si>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</si>
  <si>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</si>
  <si>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</si>
  <si>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</si>
  <si>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</si>
  <si>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</si>
  <si>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</si>
  <si>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</si>
  <si>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</si>
  <si>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</si>
  <si>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</si>
  <si>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</si>
  <si>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</si>
  <si>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</si>
  <si>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</si>
  <si>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</si>
  <si>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</si>
  <si>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</si>
  <si>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</si>
  <si>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</si>
  <si>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</si>
  <si>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</si>
  <si>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</si>
  <si>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</si>
  <si>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</si>
  <si>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</si>
  <si>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</si>
  <si>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</si>
  <si>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</si>
  <si>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</si>
  <si>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</si>
  <si>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</si>
  <si>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</si>
  <si>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</si>
  <si>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</si>
  <si>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</si>
  <si>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</si>
  <si>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</si>
  <si>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</si>
  <si>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</si>
  <si>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</si>
  <si>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</si>
  <si>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</si>
  <si>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</si>
  <si>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</si>
  <si>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</si>
  <si>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</si>
  <si>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</si>
  <si>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</si>
  <si>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</si>
  <si>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</si>
  <si>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</si>
  <si>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</si>
  <si>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</si>
  <si>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</si>
  <si>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</si>
  <si>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</si>
  <si>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</si>
  <si>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</si>
  <si>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</si>
  <si>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</si>
  <si>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</si>
  <si>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m - Pumping Head</t>
  </si>
  <si>
    <t>BPT 3</t>
  </si>
  <si>
    <t>8-22</t>
  </si>
  <si>
    <t>m -Elevation</t>
  </si>
  <si>
    <t>BPT 5</t>
  </si>
  <si>
    <t>PS 3</t>
  </si>
  <si>
    <t>PS 2</t>
  </si>
  <si>
    <t>164-226</t>
  </si>
  <si>
    <t>226-228</t>
  </si>
  <si>
    <t>228-274</t>
  </si>
  <si>
    <t>274-330</t>
  </si>
  <si>
    <t>22-164</t>
  </si>
  <si>
    <t>BPT 2</t>
  </si>
  <si>
    <t>BPT 4</t>
  </si>
  <si>
    <t xml:space="preserve">Break Pressure </t>
  </si>
  <si>
    <t>330-482</t>
  </si>
  <si>
    <t>482-500</t>
  </si>
  <si>
    <t>B</t>
  </si>
  <si>
    <t>Option 6B</t>
  </si>
  <si>
    <t>6B</t>
  </si>
  <si>
    <t>Option 6B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</si>
</sst>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83279232"/>
        <c:axId val="90322432"/>
      </c:scatterChart>
      <c:valAx>
        <c:axId val="8327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22432"/>
        <c:crosses val="autoZero"/>
        <c:crossBetween val="midCat"/>
      </c:valAx>
      <c:valAx>
        <c:axId val="903224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2792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68" l="0.70866141732283761" r="0.70866141732283761" t="0.74803149606299468" header="0.31496062992126223" footer="0.3149606299212622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26: Option 6B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1077.9898996015952</c:v>
                </c:pt>
                <c:pt idx="2">
                  <c:v>1076.9617992031904</c:v>
                </c:pt>
                <c:pt idx="3">
                  <c:v>1125.9336988047855</c:v>
                </c:pt>
                <c:pt idx="4">
                  <c:v>1124.9055984063807</c:v>
                </c:pt>
                <c:pt idx="5">
                  <c:v>1123.8774980079759</c:v>
                </c:pt>
                <c:pt idx="6">
                  <c:v>1122.849397609571</c:v>
                </c:pt>
                <c:pt idx="7">
                  <c:v>1121.8212972111662</c:v>
                </c:pt>
                <c:pt idx="8">
                  <c:v>1120.7931968127614</c:v>
                </c:pt>
                <c:pt idx="9">
                  <c:v>1119.7650964143565</c:v>
                </c:pt>
                <c:pt idx="10">
                  <c:v>1111.67</c:v>
                </c:pt>
                <c:pt idx="11">
                  <c:v>1110.6418996015952</c:v>
                </c:pt>
                <c:pt idx="12">
                  <c:v>1109.6137992031904</c:v>
                </c:pt>
                <c:pt idx="13">
                  <c:v>1108.5856988047856</c:v>
                </c:pt>
                <c:pt idx="14">
                  <c:v>1107.5575984063807</c:v>
                </c:pt>
                <c:pt idx="15">
                  <c:v>1106.5294980079759</c:v>
                </c:pt>
                <c:pt idx="16">
                  <c:v>1105.5013976095711</c:v>
                </c:pt>
                <c:pt idx="17">
                  <c:v>1104.4732972111663</c:v>
                </c:pt>
                <c:pt idx="18">
                  <c:v>1103.4451968127614</c:v>
                </c:pt>
                <c:pt idx="19">
                  <c:v>1102.4170964143566</c:v>
                </c:pt>
                <c:pt idx="20">
                  <c:v>1101.3889960159518</c:v>
                </c:pt>
                <c:pt idx="21">
                  <c:v>1100.3608956175469</c:v>
                </c:pt>
                <c:pt idx="22">
                  <c:v>1099.3327952191421</c:v>
                </c:pt>
                <c:pt idx="23">
                  <c:v>1098.3046948207373</c:v>
                </c:pt>
                <c:pt idx="24">
                  <c:v>1097.2765944223324</c:v>
                </c:pt>
                <c:pt idx="25">
                  <c:v>1096.2484940239276</c:v>
                </c:pt>
                <c:pt idx="26">
                  <c:v>1095.2203936255228</c:v>
                </c:pt>
                <c:pt idx="27">
                  <c:v>1094.1922932271179</c:v>
                </c:pt>
                <c:pt idx="28">
                  <c:v>1093.1641928287131</c:v>
                </c:pt>
                <c:pt idx="29">
                  <c:v>1092.1360924303083</c:v>
                </c:pt>
                <c:pt idx="30">
                  <c:v>1091.1079920319034</c:v>
                </c:pt>
                <c:pt idx="31">
                  <c:v>1090.0798916334986</c:v>
                </c:pt>
                <c:pt idx="32">
                  <c:v>1089.0517912350938</c:v>
                </c:pt>
                <c:pt idx="33">
                  <c:v>1088.023690836689</c:v>
                </c:pt>
                <c:pt idx="34">
                  <c:v>1086.9955904382841</c:v>
                </c:pt>
                <c:pt idx="35">
                  <c:v>1085.9674900398793</c:v>
                </c:pt>
                <c:pt idx="36">
                  <c:v>1084.9393896414745</c:v>
                </c:pt>
                <c:pt idx="37">
                  <c:v>1083.9112892430696</c:v>
                </c:pt>
                <c:pt idx="38">
                  <c:v>1082.8831888446648</c:v>
                </c:pt>
                <c:pt idx="39">
                  <c:v>1081.85508844626</c:v>
                </c:pt>
                <c:pt idx="40">
                  <c:v>1080.8269880478551</c:v>
                </c:pt>
                <c:pt idx="41">
                  <c:v>1079.7988876494503</c:v>
                </c:pt>
                <c:pt idx="42">
                  <c:v>1078.7707872510455</c:v>
                </c:pt>
                <c:pt idx="43">
                  <c:v>1077.7426868526406</c:v>
                </c:pt>
                <c:pt idx="44">
                  <c:v>1076.7145864542358</c:v>
                </c:pt>
                <c:pt idx="45">
                  <c:v>1075.686486055831</c:v>
                </c:pt>
                <c:pt idx="46">
                  <c:v>1074.6583856574262</c:v>
                </c:pt>
                <c:pt idx="47">
                  <c:v>1073.6302852590213</c:v>
                </c:pt>
                <c:pt idx="48">
                  <c:v>1072.6021848606165</c:v>
                </c:pt>
                <c:pt idx="49">
                  <c:v>1071.5740844622117</c:v>
                </c:pt>
                <c:pt idx="50">
                  <c:v>1070.5459840638068</c:v>
                </c:pt>
                <c:pt idx="51">
                  <c:v>1069.517883665402</c:v>
                </c:pt>
                <c:pt idx="52">
                  <c:v>1068.4897832669972</c:v>
                </c:pt>
                <c:pt idx="53">
                  <c:v>1067.4616828685923</c:v>
                </c:pt>
                <c:pt idx="54">
                  <c:v>1066.4335824701875</c:v>
                </c:pt>
                <c:pt idx="55">
                  <c:v>1065.4054820717827</c:v>
                </c:pt>
                <c:pt idx="56">
                  <c:v>1064.3773816733778</c:v>
                </c:pt>
                <c:pt idx="57">
                  <c:v>1063.349281274973</c:v>
                </c:pt>
                <c:pt idx="58">
                  <c:v>1062.3211808765682</c:v>
                </c:pt>
                <c:pt idx="59">
                  <c:v>1061.2930804781633</c:v>
                </c:pt>
                <c:pt idx="60">
                  <c:v>1060.2649800797585</c:v>
                </c:pt>
                <c:pt idx="61">
                  <c:v>1059.2368796813537</c:v>
                </c:pt>
                <c:pt idx="62">
                  <c:v>1058.2087792829489</c:v>
                </c:pt>
                <c:pt idx="63">
                  <c:v>1057.180678884544</c:v>
                </c:pt>
                <c:pt idx="64">
                  <c:v>1056.1525784861392</c:v>
                </c:pt>
                <c:pt idx="65">
                  <c:v>1055.1244780877344</c:v>
                </c:pt>
                <c:pt idx="66">
                  <c:v>1054.0963776893295</c:v>
                </c:pt>
                <c:pt idx="67">
                  <c:v>1053.0682772909247</c:v>
                </c:pt>
                <c:pt idx="68">
                  <c:v>1052.0401768925199</c:v>
                </c:pt>
                <c:pt idx="69">
                  <c:v>1051.012076494115</c:v>
                </c:pt>
                <c:pt idx="70">
                  <c:v>1049.9839760957102</c:v>
                </c:pt>
                <c:pt idx="71">
                  <c:v>1048.9558756973054</c:v>
                </c:pt>
                <c:pt idx="72">
                  <c:v>1047.9277752989005</c:v>
                </c:pt>
                <c:pt idx="73">
                  <c:v>1046.8996749004957</c:v>
                </c:pt>
                <c:pt idx="74">
                  <c:v>1045.8715745020909</c:v>
                </c:pt>
                <c:pt idx="75">
                  <c:v>1044.843474103686</c:v>
                </c:pt>
                <c:pt idx="76">
                  <c:v>1043.8153737052812</c:v>
                </c:pt>
                <c:pt idx="77">
                  <c:v>1042.7872733068764</c:v>
                </c:pt>
                <c:pt idx="78">
                  <c:v>1041.7591729084716</c:v>
                </c:pt>
                <c:pt idx="79">
                  <c:v>1040.7310725100667</c:v>
                </c:pt>
                <c:pt idx="80">
                  <c:v>1039.7029721116619</c:v>
                </c:pt>
                <c:pt idx="81">
                  <c:v>1038.3489901581181</c:v>
                </c:pt>
                <c:pt idx="82">
                  <c:v>1036.9950082045743</c:v>
                </c:pt>
                <c:pt idx="83">
                  <c:v>1035.6410262510306</c:v>
                </c:pt>
                <c:pt idx="84">
                  <c:v>1034.2870442974868</c:v>
                </c:pt>
                <c:pt idx="85">
                  <c:v>1032.933062343943</c:v>
                </c:pt>
                <c:pt idx="86">
                  <c:v>1031.5790803903992</c:v>
                </c:pt>
                <c:pt idx="87">
                  <c:v>1030.2250984368554</c:v>
                </c:pt>
                <c:pt idx="88">
                  <c:v>1028.8711164833117</c:v>
                </c:pt>
                <c:pt idx="89">
                  <c:v>1027.5171345297679</c:v>
                </c:pt>
                <c:pt idx="90">
                  <c:v>1026.1631525762241</c:v>
                </c:pt>
                <c:pt idx="91">
                  <c:v>1024.8091706226803</c:v>
                </c:pt>
                <c:pt idx="92">
                  <c:v>1023.4551886691365</c:v>
                </c:pt>
                <c:pt idx="93">
                  <c:v>1022.1012067155928</c:v>
                </c:pt>
                <c:pt idx="94">
                  <c:v>1020.747224762049</c:v>
                </c:pt>
                <c:pt idx="95">
                  <c:v>1019.3932428085052</c:v>
                </c:pt>
                <c:pt idx="96">
                  <c:v>1018.0392608549614</c:v>
                </c:pt>
                <c:pt idx="97">
                  <c:v>1016.6852789014176</c:v>
                </c:pt>
                <c:pt idx="98">
                  <c:v>1015.3312969478739</c:v>
                </c:pt>
                <c:pt idx="99">
                  <c:v>1013.9773149943301</c:v>
                </c:pt>
                <c:pt idx="100">
                  <c:v>1012.6233330407863</c:v>
                </c:pt>
                <c:pt idx="101">
                  <c:v>1011.2693510872425</c:v>
                </c:pt>
                <c:pt idx="102">
                  <c:v>1009.9153691336987</c:v>
                </c:pt>
                <c:pt idx="103">
                  <c:v>1008.561387180155</c:v>
                </c:pt>
                <c:pt idx="104">
                  <c:v>1007.2074052266112</c:v>
                </c:pt>
                <c:pt idx="105">
                  <c:v>1005.8534232730674</c:v>
                </c:pt>
                <c:pt idx="106">
                  <c:v>1004.4994413195236</c:v>
                </c:pt>
                <c:pt idx="107">
                  <c:v>1003.1454593659798</c:v>
                </c:pt>
                <c:pt idx="108">
                  <c:v>1001.7914774124361</c:v>
                </c:pt>
                <c:pt idx="109">
                  <c:v>1000.4374954588923</c:v>
                </c:pt>
                <c:pt idx="110">
                  <c:v>999.08351350534849</c:v>
                </c:pt>
                <c:pt idx="111">
                  <c:v>997.72953155180471</c:v>
                </c:pt>
                <c:pt idx="112">
                  <c:v>996.93757905307757</c:v>
                </c:pt>
                <c:pt idx="113">
                  <c:v>1043.4839999999999</c:v>
                </c:pt>
                <c:pt idx="114">
                  <c:v>1042.6920475012728</c:v>
                </c:pt>
                <c:pt idx="115">
                  <c:v>1041.9000950025456</c:v>
                </c:pt>
                <c:pt idx="116">
                  <c:v>1041.1081425038185</c:v>
                </c:pt>
                <c:pt idx="117">
                  <c:v>1040.3161900050914</c:v>
                </c:pt>
                <c:pt idx="118">
                  <c:v>1039.5242375063642</c:v>
                </c:pt>
                <c:pt idx="119">
                  <c:v>1038.7322850076371</c:v>
                </c:pt>
                <c:pt idx="120">
                  <c:v>1037.9403325089099</c:v>
                </c:pt>
                <c:pt idx="121">
                  <c:v>1037.1483800101828</c:v>
                </c:pt>
                <c:pt idx="122">
                  <c:v>1036.3564275114556</c:v>
                </c:pt>
                <c:pt idx="123">
                  <c:v>1035.5644750127285</c:v>
                </c:pt>
                <c:pt idx="124">
                  <c:v>1034.7725225140014</c:v>
                </c:pt>
                <c:pt idx="125">
                  <c:v>1033.9805700152742</c:v>
                </c:pt>
                <c:pt idx="126">
                  <c:v>1033.1886175165471</c:v>
                </c:pt>
                <c:pt idx="127">
                  <c:v>1032.3966650178199</c:v>
                </c:pt>
                <c:pt idx="128">
                  <c:v>1031.6047125190928</c:v>
                </c:pt>
                <c:pt idx="129">
                  <c:v>1030.8127600203657</c:v>
                </c:pt>
                <c:pt idx="130">
                  <c:v>1030.0208075216385</c:v>
                </c:pt>
                <c:pt idx="131">
                  <c:v>1029.2288550229114</c:v>
                </c:pt>
                <c:pt idx="132">
                  <c:v>1028.4369025241842</c:v>
                </c:pt>
                <c:pt idx="133">
                  <c:v>1027.6449500254571</c:v>
                </c:pt>
                <c:pt idx="134">
                  <c:v>1026.85299752673</c:v>
                </c:pt>
                <c:pt idx="135">
                  <c:v>1026.0610450280028</c:v>
                </c:pt>
                <c:pt idx="136">
                  <c:v>1183.819</c:v>
                </c:pt>
                <c:pt idx="137">
                  <c:v>1183.0270475012728</c:v>
                </c:pt>
                <c:pt idx="138">
                  <c:v>1182.2350950025457</c:v>
                </c:pt>
                <c:pt idx="139">
                  <c:v>1181.4431425038185</c:v>
                </c:pt>
                <c:pt idx="140">
                  <c:v>1180.6511900050914</c:v>
                </c:pt>
                <c:pt idx="141">
                  <c:v>1179.8592375063643</c:v>
                </c:pt>
                <c:pt idx="142">
                  <c:v>1179.0672850076371</c:v>
                </c:pt>
                <c:pt idx="143">
                  <c:v>1178.27533250891</c:v>
                </c:pt>
                <c:pt idx="144">
                  <c:v>1177.4833800101828</c:v>
                </c:pt>
                <c:pt idx="145">
                  <c:v>1176.6914275114557</c:v>
                </c:pt>
                <c:pt idx="146">
                  <c:v>1175.8994750127285</c:v>
                </c:pt>
                <c:pt idx="147">
                  <c:v>1175.1075225140014</c:v>
                </c:pt>
                <c:pt idx="148">
                  <c:v>1174.3155700152743</c:v>
                </c:pt>
                <c:pt idx="149">
                  <c:v>1173.5236175165471</c:v>
                </c:pt>
                <c:pt idx="150">
                  <c:v>1172.73166501782</c:v>
                </c:pt>
                <c:pt idx="151">
                  <c:v>1171.9397125190928</c:v>
                </c:pt>
                <c:pt idx="152">
                  <c:v>1171.1477600203657</c:v>
                </c:pt>
                <c:pt idx="153">
                  <c:v>1170.3558075216386</c:v>
                </c:pt>
                <c:pt idx="154">
                  <c:v>1169.5638550229114</c:v>
                </c:pt>
                <c:pt idx="155">
                  <c:v>1168.7719025241843</c:v>
                </c:pt>
                <c:pt idx="156">
                  <c:v>1167.9799500254571</c:v>
                </c:pt>
                <c:pt idx="157">
                  <c:v>1167.18799752673</c:v>
                </c:pt>
                <c:pt idx="158">
                  <c:v>1166.3960450280028</c:v>
                </c:pt>
                <c:pt idx="159">
                  <c:v>1165.6040925292757</c:v>
                </c:pt>
                <c:pt idx="160">
                  <c:v>1164.8121400305486</c:v>
                </c:pt>
                <c:pt idx="161">
                  <c:v>1164.0201875318214</c:v>
                </c:pt>
                <c:pt idx="162">
                  <c:v>1163.2282350330943</c:v>
                </c:pt>
                <c:pt idx="163">
                  <c:v>1162.4362825343671</c:v>
                </c:pt>
                <c:pt idx="164">
                  <c:v>1146.405</c:v>
                </c:pt>
                <c:pt idx="165">
                  <c:v>1145.0510180464562</c:v>
                </c:pt>
                <c:pt idx="166">
                  <c:v>1143.6970360929124</c:v>
                </c:pt>
                <c:pt idx="167">
                  <c:v>1142.3430541393686</c:v>
                </c:pt>
                <c:pt idx="168">
                  <c:v>1140.9890721858249</c:v>
                </c:pt>
                <c:pt idx="169">
                  <c:v>1139.6350902322811</c:v>
                </c:pt>
                <c:pt idx="170">
                  <c:v>1138.2811082787373</c:v>
                </c:pt>
                <c:pt idx="171">
                  <c:v>1136.9271263251935</c:v>
                </c:pt>
                <c:pt idx="172">
                  <c:v>1135.5731443716497</c:v>
                </c:pt>
                <c:pt idx="173">
                  <c:v>1134.219162418106</c:v>
                </c:pt>
                <c:pt idx="174">
                  <c:v>1132.8651804645622</c:v>
                </c:pt>
                <c:pt idx="175">
                  <c:v>1131.5111985110184</c:v>
                </c:pt>
                <c:pt idx="176">
                  <c:v>1130.1572165574746</c:v>
                </c:pt>
                <c:pt idx="177">
                  <c:v>1128.8032346039308</c:v>
                </c:pt>
                <c:pt idx="178">
                  <c:v>1127.4492526503871</c:v>
                </c:pt>
                <c:pt idx="179">
                  <c:v>1126.0952706968433</c:v>
                </c:pt>
                <c:pt idx="180">
                  <c:v>1124.7412887432995</c:v>
                </c:pt>
                <c:pt idx="181">
                  <c:v>1123.3873067897557</c:v>
                </c:pt>
                <c:pt idx="182">
                  <c:v>1122.0333248362119</c:v>
                </c:pt>
                <c:pt idx="183">
                  <c:v>1120.6793428826682</c:v>
                </c:pt>
                <c:pt idx="184">
                  <c:v>1119.3253609291244</c:v>
                </c:pt>
                <c:pt idx="185">
                  <c:v>1117.9713789755806</c:v>
                </c:pt>
                <c:pt idx="186">
                  <c:v>1116.6173970220368</c:v>
                </c:pt>
                <c:pt idx="187">
                  <c:v>1115.263415068493</c:v>
                </c:pt>
                <c:pt idx="188">
                  <c:v>1113.9094331149493</c:v>
                </c:pt>
                <c:pt idx="189">
                  <c:v>1112.5554511614055</c:v>
                </c:pt>
                <c:pt idx="190">
                  <c:v>1111.2014692078617</c:v>
                </c:pt>
                <c:pt idx="191">
                  <c:v>1109.8474872543179</c:v>
                </c:pt>
                <c:pt idx="192">
                  <c:v>1108.4935053007741</c:v>
                </c:pt>
                <c:pt idx="193">
                  <c:v>1107.1395233472304</c:v>
                </c:pt>
                <c:pt idx="194">
                  <c:v>1105.7855413936866</c:v>
                </c:pt>
                <c:pt idx="195">
                  <c:v>1104.4315594401428</c:v>
                </c:pt>
                <c:pt idx="196">
                  <c:v>1103.077577486599</c:v>
                </c:pt>
                <c:pt idx="197">
                  <c:v>1101.7235955330552</c:v>
                </c:pt>
                <c:pt idx="198">
                  <c:v>1100.3696135795115</c:v>
                </c:pt>
                <c:pt idx="199">
                  <c:v>1099.0156316259677</c:v>
                </c:pt>
                <c:pt idx="200">
                  <c:v>1097.6616496724239</c:v>
                </c:pt>
                <c:pt idx="201">
                  <c:v>1096.3076677188801</c:v>
                </c:pt>
                <c:pt idx="202">
                  <c:v>1094.9536857653363</c:v>
                </c:pt>
                <c:pt idx="203">
                  <c:v>1093.5997038117926</c:v>
                </c:pt>
                <c:pt idx="204">
                  <c:v>1092.2457218582488</c:v>
                </c:pt>
                <c:pt idx="205">
                  <c:v>1090.891739904705</c:v>
                </c:pt>
                <c:pt idx="206">
                  <c:v>1089.5377579511612</c:v>
                </c:pt>
                <c:pt idx="207">
                  <c:v>1088.1837759976174</c:v>
                </c:pt>
                <c:pt idx="208">
                  <c:v>1086.8297940440737</c:v>
                </c:pt>
                <c:pt idx="209">
                  <c:v>1085.4758120905299</c:v>
                </c:pt>
                <c:pt idx="210">
                  <c:v>1084.1218301369861</c:v>
                </c:pt>
                <c:pt idx="211">
                  <c:v>1082.7678481834423</c:v>
                </c:pt>
                <c:pt idx="212">
                  <c:v>1081.4138662298985</c:v>
                </c:pt>
                <c:pt idx="213">
                  <c:v>1080.0598842763548</c:v>
                </c:pt>
                <c:pt idx="214">
                  <c:v>1078.705902322811</c:v>
                </c:pt>
                <c:pt idx="215">
                  <c:v>1077.3519203692672</c:v>
                </c:pt>
                <c:pt idx="216">
                  <c:v>1075.9979384157234</c:v>
                </c:pt>
                <c:pt idx="217">
                  <c:v>1074.6439564621796</c:v>
                </c:pt>
                <c:pt idx="218">
                  <c:v>1073.2899745086359</c:v>
                </c:pt>
                <c:pt idx="219">
                  <c:v>1071.9359925550921</c:v>
                </c:pt>
                <c:pt idx="220">
                  <c:v>1070.5820106015483</c:v>
                </c:pt>
                <c:pt idx="221">
                  <c:v>1069.2280286480045</c:v>
                </c:pt>
                <c:pt idx="222">
                  <c:v>1067.8740466944607</c:v>
                </c:pt>
                <c:pt idx="223">
                  <c:v>1066.520064740917</c:v>
                </c:pt>
                <c:pt idx="224">
                  <c:v>1065.1660827873732</c:v>
                </c:pt>
                <c:pt idx="225">
                  <c:v>1063.8121008338294</c:v>
                </c:pt>
                <c:pt idx="226">
                  <c:v>1062.4581188802856</c:v>
                </c:pt>
                <c:pt idx="227">
                  <c:v>1061.1041369267418</c:v>
                </c:pt>
                <c:pt idx="228">
                  <c:v>1059.7501549731981</c:v>
                </c:pt>
                <c:pt idx="229">
                  <c:v>1058.3961730196543</c:v>
                </c:pt>
                <c:pt idx="230">
                  <c:v>1057.0421910661105</c:v>
                </c:pt>
                <c:pt idx="231">
                  <c:v>1055.6882091125667</c:v>
                </c:pt>
                <c:pt idx="232">
                  <c:v>1054.3342271590229</c:v>
                </c:pt>
                <c:pt idx="233">
                  <c:v>1052.9802452054792</c:v>
                </c:pt>
                <c:pt idx="234">
                  <c:v>1051.6262632519354</c:v>
                </c:pt>
                <c:pt idx="235">
                  <c:v>1050.2722812983916</c:v>
                </c:pt>
                <c:pt idx="236">
                  <c:v>1048.9182993448478</c:v>
                </c:pt>
                <c:pt idx="237">
                  <c:v>1047.564317391304</c:v>
                </c:pt>
                <c:pt idx="238">
                  <c:v>1046.2103354377602</c:v>
                </c:pt>
                <c:pt idx="239">
                  <c:v>1044.8563534842165</c:v>
                </c:pt>
                <c:pt idx="240">
                  <c:v>1041.4237426612651</c:v>
                </c:pt>
                <c:pt idx="241">
                  <c:v>1037.9911318383138</c:v>
                </c:pt>
                <c:pt idx="242">
                  <c:v>1034.5585210153624</c:v>
                </c:pt>
                <c:pt idx="243">
                  <c:v>1031.1259101924111</c:v>
                </c:pt>
                <c:pt idx="244">
                  <c:v>1027.6932993694597</c:v>
                </c:pt>
                <c:pt idx="245">
                  <c:v>1024.2606885465084</c:v>
                </c:pt>
                <c:pt idx="246">
                  <c:v>1020.8280777235572</c:v>
                </c:pt>
                <c:pt idx="247">
                  <c:v>1017.3954669006059</c:v>
                </c:pt>
                <c:pt idx="248">
                  <c:v>1013.9628560776547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1077.8719150329525</c:v>
                </c:pt>
                <c:pt idx="2">
                  <c:v>1076.725830065905</c:v>
                </c:pt>
                <c:pt idx="3">
                  <c:v>1125.5797450988575</c:v>
                </c:pt>
                <c:pt idx="4">
                  <c:v>1124.43366013181</c:v>
                </c:pt>
                <c:pt idx="5">
                  <c:v>1123.2875751647625</c:v>
                </c:pt>
                <c:pt idx="6">
                  <c:v>1122.141490197715</c:v>
                </c:pt>
                <c:pt idx="7">
                  <c:v>1120.9954052306675</c:v>
                </c:pt>
                <c:pt idx="8">
                  <c:v>1119.84932026362</c:v>
                </c:pt>
                <c:pt idx="9">
                  <c:v>1118.7032352965725</c:v>
                </c:pt>
                <c:pt idx="10">
                  <c:v>1111.67</c:v>
                </c:pt>
                <c:pt idx="11">
                  <c:v>1110.5239150329526</c:v>
                </c:pt>
                <c:pt idx="12">
                  <c:v>1109.3778300659051</c:v>
                </c:pt>
                <c:pt idx="13">
                  <c:v>1108.2317450988576</c:v>
                </c:pt>
                <c:pt idx="14">
                  <c:v>1107.0856601318101</c:v>
                </c:pt>
                <c:pt idx="15">
                  <c:v>1105.9395751647626</c:v>
                </c:pt>
                <c:pt idx="16">
                  <c:v>1104.7934901977151</c:v>
                </c:pt>
                <c:pt idx="17">
                  <c:v>1103.6474052306676</c:v>
                </c:pt>
                <c:pt idx="18">
                  <c:v>1102.5013202636201</c:v>
                </c:pt>
                <c:pt idx="19">
                  <c:v>1101.3552352965726</c:v>
                </c:pt>
                <c:pt idx="20">
                  <c:v>1100.2091503295251</c:v>
                </c:pt>
                <c:pt idx="21">
                  <c:v>1099.0630653624776</c:v>
                </c:pt>
                <c:pt idx="22">
                  <c:v>1097.9169803954301</c:v>
                </c:pt>
                <c:pt idx="23">
                  <c:v>1096.7708954283826</c:v>
                </c:pt>
                <c:pt idx="24">
                  <c:v>1095.6248104613351</c:v>
                </c:pt>
                <c:pt idx="25">
                  <c:v>1094.4787254942876</c:v>
                </c:pt>
                <c:pt idx="26">
                  <c:v>1093.3326405272401</c:v>
                </c:pt>
                <c:pt idx="27">
                  <c:v>1092.1865555601926</c:v>
                </c:pt>
                <c:pt idx="28">
                  <c:v>1091.0404705931451</c:v>
                </c:pt>
                <c:pt idx="29">
                  <c:v>1089.8943856260976</c:v>
                </c:pt>
                <c:pt idx="30">
                  <c:v>1088.7483006590501</c:v>
                </c:pt>
                <c:pt idx="31">
                  <c:v>1087.6022156920026</c:v>
                </c:pt>
                <c:pt idx="32">
                  <c:v>1086.4561307249551</c:v>
                </c:pt>
                <c:pt idx="33">
                  <c:v>1085.3100457579076</c:v>
                </c:pt>
                <c:pt idx="34">
                  <c:v>1084.1639607908601</c:v>
                </c:pt>
                <c:pt idx="35">
                  <c:v>1083.0178758238126</c:v>
                </c:pt>
                <c:pt idx="36">
                  <c:v>1081.8717908567651</c:v>
                </c:pt>
                <c:pt idx="37">
                  <c:v>1080.7257058897176</c:v>
                </c:pt>
                <c:pt idx="38">
                  <c:v>1079.5796209226701</c:v>
                </c:pt>
                <c:pt idx="39">
                  <c:v>1078.4335359556226</c:v>
                </c:pt>
                <c:pt idx="40">
                  <c:v>1077.2874509885751</c:v>
                </c:pt>
                <c:pt idx="41">
                  <c:v>1076.1413660215276</c:v>
                </c:pt>
                <c:pt idx="42">
                  <c:v>1074.9952810544801</c:v>
                </c:pt>
                <c:pt idx="43">
                  <c:v>1073.8491960874326</c:v>
                </c:pt>
                <c:pt idx="44">
                  <c:v>1072.7031111203851</c:v>
                </c:pt>
                <c:pt idx="45">
                  <c:v>1071.5570261533376</c:v>
                </c:pt>
                <c:pt idx="46">
                  <c:v>1070.4109411862901</c:v>
                </c:pt>
                <c:pt idx="47">
                  <c:v>1069.2648562192426</c:v>
                </c:pt>
                <c:pt idx="48">
                  <c:v>1068.1187712521951</c:v>
                </c:pt>
                <c:pt idx="49">
                  <c:v>1066.9726862851476</c:v>
                </c:pt>
                <c:pt idx="50">
                  <c:v>1065.8266013181001</c:v>
                </c:pt>
                <c:pt idx="51">
                  <c:v>1064.6805163510526</c:v>
                </c:pt>
                <c:pt idx="52">
                  <c:v>1063.5344313840051</c:v>
                </c:pt>
                <c:pt idx="53">
                  <c:v>1062.3883464169576</c:v>
                </c:pt>
                <c:pt idx="54">
                  <c:v>1061.2422614499101</c:v>
                </c:pt>
                <c:pt idx="55">
                  <c:v>1060.0961764828626</c:v>
                </c:pt>
                <c:pt idx="56">
                  <c:v>1058.9500915158151</c:v>
                </c:pt>
                <c:pt idx="57">
                  <c:v>1057.8040065487676</c:v>
                </c:pt>
                <c:pt idx="58">
                  <c:v>1056.6579215817201</c:v>
                </c:pt>
                <c:pt idx="59">
                  <c:v>1055.5118366146726</c:v>
                </c:pt>
                <c:pt idx="60">
                  <c:v>1054.3657516476251</c:v>
                </c:pt>
                <c:pt idx="61">
                  <c:v>1053.2196666805776</c:v>
                </c:pt>
                <c:pt idx="62">
                  <c:v>1052.0735817135301</c:v>
                </c:pt>
                <c:pt idx="63">
                  <c:v>1050.9274967464826</c:v>
                </c:pt>
                <c:pt idx="64">
                  <c:v>1049.7814117794351</c:v>
                </c:pt>
                <c:pt idx="65">
                  <c:v>1048.6353268123876</c:v>
                </c:pt>
                <c:pt idx="66">
                  <c:v>1047.4892418453401</c:v>
                </c:pt>
                <c:pt idx="67">
                  <c:v>1046.3431568782926</c:v>
                </c:pt>
                <c:pt idx="68">
                  <c:v>1045.1970719112451</c:v>
                </c:pt>
                <c:pt idx="69">
                  <c:v>1044.0509869441976</c:v>
                </c:pt>
                <c:pt idx="70">
                  <c:v>1042.9049019771501</c:v>
                </c:pt>
                <c:pt idx="71">
                  <c:v>1041.7588170101026</c:v>
                </c:pt>
                <c:pt idx="72">
                  <c:v>1040.6127320430551</c:v>
                </c:pt>
                <c:pt idx="73">
                  <c:v>1039.4666470760076</c:v>
                </c:pt>
                <c:pt idx="74">
                  <c:v>1038.3205621089601</c:v>
                </c:pt>
                <c:pt idx="75">
                  <c:v>1037.1744771419126</c:v>
                </c:pt>
                <c:pt idx="76">
                  <c:v>1036.0283921748651</c:v>
                </c:pt>
                <c:pt idx="77">
                  <c:v>1034.8823072078176</c:v>
                </c:pt>
                <c:pt idx="78">
                  <c:v>1033.7362222407701</c:v>
                </c:pt>
                <c:pt idx="79">
                  <c:v>1032.5901372737226</c:v>
                </c:pt>
                <c:pt idx="80">
                  <c:v>1031.4440523066751</c:v>
                </c:pt>
                <c:pt idx="81">
                  <c:v>1029.9333548432819</c:v>
                </c:pt>
                <c:pt idx="82">
                  <c:v>1028.4226573798887</c:v>
                </c:pt>
                <c:pt idx="83">
                  <c:v>1026.9119599164956</c:v>
                </c:pt>
                <c:pt idx="84">
                  <c:v>1025.4012624531024</c:v>
                </c:pt>
                <c:pt idx="85">
                  <c:v>1023.8905649897093</c:v>
                </c:pt>
                <c:pt idx="86">
                  <c:v>1022.3798675263163</c:v>
                </c:pt>
                <c:pt idx="87">
                  <c:v>1020.8691700629232</c:v>
                </c:pt>
                <c:pt idx="88">
                  <c:v>1019.3584725995302</c:v>
                </c:pt>
                <c:pt idx="89">
                  <c:v>1017.8477751361371</c:v>
                </c:pt>
                <c:pt idx="90">
                  <c:v>1016.337077672744</c:v>
                </c:pt>
                <c:pt idx="91">
                  <c:v>1014.826380209351</c:v>
                </c:pt>
                <c:pt idx="92">
                  <c:v>1013.3156827459579</c:v>
                </c:pt>
                <c:pt idx="93">
                  <c:v>1011.8049852825649</c:v>
                </c:pt>
                <c:pt idx="94">
                  <c:v>1010.2942878191718</c:v>
                </c:pt>
                <c:pt idx="95">
                  <c:v>1008.7835903557788</c:v>
                </c:pt>
                <c:pt idx="96">
                  <c:v>1007.2728928923857</c:v>
                </c:pt>
                <c:pt idx="97">
                  <c:v>1005.7621954289926</c:v>
                </c:pt>
                <c:pt idx="98">
                  <c:v>1004.2514979655996</c:v>
                </c:pt>
                <c:pt idx="99">
                  <c:v>1002.7408005022065</c:v>
                </c:pt>
                <c:pt idx="100">
                  <c:v>1001.2301030388135</c:v>
                </c:pt>
                <c:pt idx="101">
                  <c:v>999.71940557542041</c:v>
                </c:pt>
                <c:pt idx="102">
                  <c:v>998.20870811202735</c:v>
                </c:pt>
                <c:pt idx="103">
                  <c:v>996.69801064863429</c:v>
                </c:pt>
                <c:pt idx="104">
                  <c:v>995.18731318524124</c:v>
                </c:pt>
                <c:pt idx="105">
                  <c:v>993.67661572184818</c:v>
                </c:pt>
                <c:pt idx="106">
                  <c:v>992.16591825845512</c:v>
                </c:pt>
                <c:pt idx="107">
                  <c:v>990.65522079506206</c:v>
                </c:pt>
                <c:pt idx="108">
                  <c:v>989.14452333166901</c:v>
                </c:pt>
                <c:pt idx="109">
                  <c:v>987.63382586827595</c:v>
                </c:pt>
                <c:pt idx="110">
                  <c:v>986.12312840488289</c:v>
                </c:pt>
                <c:pt idx="111">
                  <c:v>984.61243094148983</c:v>
                </c:pt>
                <c:pt idx="112">
                  <c:v>983.73034454643584</c:v>
                </c:pt>
                <c:pt idx="113">
                  <c:v>1043.4839999999999</c:v>
                </c:pt>
                <c:pt idx="114">
                  <c:v>1042.601913604946</c:v>
                </c:pt>
                <c:pt idx="115">
                  <c:v>1041.7198272098922</c:v>
                </c:pt>
                <c:pt idx="116">
                  <c:v>1040.8377408148383</c:v>
                </c:pt>
                <c:pt idx="117">
                  <c:v>1039.9556544197844</c:v>
                </c:pt>
                <c:pt idx="118">
                  <c:v>1039.0735680247305</c:v>
                </c:pt>
                <c:pt idx="119">
                  <c:v>1038.1914816296767</c:v>
                </c:pt>
                <c:pt idx="120">
                  <c:v>1037.3093952346228</c:v>
                </c:pt>
                <c:pt idx="121">
                  <c:v>1036.4273088395689</c:v>
                </c:pt>
                <c:pt idx="122">
                  <c:v>1035.545222444515</c:v>
                </c:pt>
                <c:pt idx="123">
                  <c:v>1034.6631360494612</c:v>
                </c:pt>
                <c:pt idx="124">
                  <c:v>1033.7810496544073</c:v>
                </c:pt>
                <c:pt idx="125">
                  <c:v>1032.8989632593534</c:v>
                </c:pt>
                <c:pt idx="126">
                  <c:v>1032.0168768642995</c:v>
                </c:pt>
                <c:pt idx="127">
                  <c:v>1031.1347904692457</c:v>
                </c:pt>
                <c:pt idx="128">
                  <c:v>1030.2527040741918</c:v>
                </c:pt>
                <c:pt idx="129">
                  <c:v>1029.3706176791379</c:v>
                </c:pt>
                <c:pt idx="130">
                  <c:v>1028.488531284084</c:v>
                </c:pt>
                <c:pt idx="131">
                  <c:v>1027.6064448890302</c:v>
                </c:pt>
                <c:pt idx="132">
                  <c:v>1026.7243584939763</c:v>
                </c:pt>
                <c:pt idx="133">
                  <c:v>1025.8422720989224</c:v>
                </c:pt>
                <c:pt idx="134">
                  <c:v>1024.9601857038685</c:v>
                </c:pt>
                <c:pt idx="135">
                  <c:v>1024.0780993088147</c:v>
                </c:pt>
                <c:pt idx="136">
                  <c:v>1183.819</c:v>
                </c:pt>
                <c:pt idx="137">
                  <c:v>1182.9369136049461</c:v>
                </c:pt>
                <c:pt idx="138">
                  <c:v>1182.0548272098922</c:v>
                </c:pt>
                <c:pt idx="139">
                  <c:v>1181.1727408148383</c:v>
                </c:pt>
                <c:pt idx="140">
                  <c:v>1180.2906544197845</c:v>
                </c:pt>
                <c:pt idx="141">
                  <c:v>1179.4085680247306</c:v>
                </c:pt>
                <c:pt idx="142">
                  <c:v>1178.5264816296767</c:v>
                </c:pt>
                <c:pt idx="143">
                  <c:v>1177.6443952346228</c:v>
                </c:pt>
                <c:pt idx="144">
                  <c:v>1176.762308839569</c:v>
                </c:pt>
                <c:pt idx="145">
                  <c:v>1175.8802224445151</c:v>
                </c:pt>
                <c:pt idx="146">
                  <c:v>1174.9981360494612</c:v>
                </c:pt>
                <c:pt idx="147">
                  <c:v>1174.1160496544073</c:v>
                </c:pt>
                <c:pt idx="148">
                  <c:v>1173.2339632593535</c:v>
                </c:pt>
                <c:pt idx="149">
                  <c:v>1172.3518768642996</c:v>
                </c:pt>
                <c:pt idx="150">
                  <c:v>1171.4697904692457</c:v>
                </c:pt>
                <c:pt idx="151">
                  <c:v>1170.5877040741918</c:v>
                </c:pt>
                <c:pt idx="152">
                  <c:v>1169.705617679138</c:v>
                </c:pt>
                <c:pt idx="153">
                  <c:v>1168.8235312840841</c:v>
                </c:pt>
                <c:pt idx="154">
                  <c:v>1167.9414448890302</c:v>
                </c:pt>
                <c:pt idx="155">
                  <c:v>1167.0593584939763</c:v>
                </c:pt>
                <c:pt idx="156">
                  <c:v>1166.1772720989225</c:v>
                </c:pt>
                <c:pt idx="157">
                  <c:v>1165.2951857038686</c:v>
                </c:pt>
                <c:pt idx="158">
                  <c:v>1164.4130993088147</c:v>
                </c:pt>
                <c:pt idx="159">
                  <c:v>1163.5310129137608</c:v>
                </c:pt>
                <c:pt idx="160">
                  <c:v>1162.648926518707</c:v>
                </c:pt>
                <c:pt idx="161">
                  <c:v>1161.7668401236531</c:v>
                </c:pt>
                <c:pt idx="162">
                  <c:v>1160.8847537285992</c:v>
                </c:pt>
                <c:pt idx="163">
                  <c:v>1160.0026673335453</c:v>
                </c:pt>
                <c:pt idx="164">
                  <c:v>1146.405</c:v>
                </c:pt>
                <c:pt idx="165">
                  <c:v>1144.8943025366068</c:v>
                </c:pt>
                <c:pt idx="166">
                  <c:v>1143.3836050732136</c:v>
                </c:pt>
                <c:pt idx="167">
                  <c:v>1141.8729076098205</c:v>
                </c:pt>
                <c:pt idx="168">
                  <c:v>1140.3622101464273</c:v>
                </c:pt>
                <c:pt idx="169">
                  <c:v>1138.8515126830341</c:v>
                </c:pt>
                <c:pt idx="170">
                  <c:v>1137.3408152196409</c:v>
                </c:pt>
                <c:pt idx="171">
                  <c:v>1135.8301177562478</c:v>
                </c:pt>
                <c:pt idx="172">
                  <c:v>1134.3194202928546</c:v>
                </c:pt>
                <c:pt idx="173">
                  <c:v>1132.8087228294614</c:v>
                </c:pt>
                <c:pt idx="174">
                  <c:v>1131.2980253660683</c:v>
                </c:pt>
                <c:pt idx="175">
                  <c:v>1129.7873279026751</c:v>
                </c:pt>
                <c:pt idx="176">
                  <c:v>1128.2766304392819</c:v>
                </c:pt>
                <c:pt idx="177">
                  <c:v>1126.7659329758887</c:v>
                </c:pt>
                <c:pt idx="178">
                  <c:v>1125.2552355124956</c:v>
                </c:pt>
                <c:pt idx="179">
                  <c:v>1123.7445380491024</c:v>
                </c:pt>
                <c:pt idx="180">
                  <c:v>1122.2338405857092</c:v>
                </c:pt>
                <c:pt idx="181">
                  <c:v>1120.7231431223161</c:v>
                </c:pt>
                <c:pt idx="182">
                  <c:v>1119.2124456589229</c:v>
                </c:pt>
                <c:pt idx="183">
                  <c:v>1117.7017481955297</c:v>
                </c:pt>
                <c:pt idx="184">
                  <c:v>1116.1910507321365</c:v>
                </c:pt>
                <c:pt idx="185">
                  <c:v>1114.6803532687434</c:v>
                </c:pt>
                <c:pt idx="186">
                  <c:v>1113.1696558053502</c:v>
                </c:pt>
                <c:pt idx="187">
                  <c:v>1111.658958341957</c:v>
                </c:pt>
                <c:pt idx="188">
                  <c:v>1110.1482608785639</c:v>
                </c:pt>
                <c:pt idx="189">
                  <c:v>1108.6375634151707</c:v>
                </c:pt>
                <c:pt idx="190">
                  <c:v>1107.1268659517775</c:v>
                </c:pt>
                <c:pt idx="191">
                  <c:v>1105.6161684883843</c:v>
                </c:pt>
                <c:pt idx="192">
                  <c:v>1104.1054710249912</c:v>
                </c:pt>
                <c:pt idx="193">
                  <c:v>1102.594773561598</c:v>
                </c:pt>
                <c:pt idx="194">
                  <c:v>1101.0840760982048</c:v>
                </c:pt>
                <c:pt idx="195">
                  <c:v>1099.5733786348117</c:v>
                </c:pt>
                <c:pt idx="196">
                  <c:v>1098.0626811714185</c:v>
                </c:pt>
                <c:pt idx="197">
                  <c:v>1096.5519837080253</c:v>
                </c:pt>
                <c:pt idx="198">
                  <c:v>1095.0412862446321</c:v>
                </c:pt>
                <c:pt idx="199">
                  <c:v>1093.530588781239</c:v>
                </c:pt>
                <c:pt idx="200">
                  <c:v>1092.0198913178458</c:v>
                </c:pt>
                <c:pt idx="201">
                  <c:v>1090.5091938544526</c:v>
                </c:pt>
                <c:pt idx="202">
                  <c:v>1088.9984963910595</c:v>
                </c:pt>
                <c:pt idx="203">
                  <c:v>1087.4877989276663</c:v>
                </c:pt>
                <c:pt idx="204">
                  <c:v>1085.9771014642731</c:v>
                </c:pt>
                <c:pt idx="205">
                  <c:v>1084.4664040008799</c:v>
                </c:pt>
                <c:pt idx="206">
                  <c:v>1082.9557065374868</c:v>
                </c:pt>
                <c:pt idx="207">
                  <c:v>1081.4450090740936</c:v>
                </c:pt>
                <c:pt idx="208">
                  <c:v>1079.9343116107004</c:v>
                </c:pt>
                <c:pt idx="209">
                  <c:v>1078.4236141473073</c:v>
                </c:pt>
                <c:pt idx="210">
                  <c:v>1076.9129166839141</c:v>
                </c:pt>
                <c:pt idx="211">
                  <c:v>1075.4022192205209</c:v>
                </c:pt>
                <c:pt idx="212">
                  <c:v>1073.8915217571277</c:v>
                </c:pt>
                <c:pt idx="213">
                  <c:v>1072.3808242937346</c:v>
                </c:pt>
                <c:pt idx="214">
                  <c:v>1070.8701268303414</c:v>
                </c:pt>
                <c:pt idx="215">
                  <c:v>1069.3594293669482</c:v>
                </c:pt>
                <c:pt idx="216">
                  <c:v>1067.8487319035551</c:v>
                </c:pt>
                <c:pt idx="217">
                  <c:v>1066.3380344401619</c:v>
                </c:pt>
                <c:pt idx="218">
                  <c:v>1064.8273369767687</c:v>
                </c:pt>
                <c:pt idx="219">
                  <c:v>1063.3166395133755</c:v>
                </c:pt>
                <c:pt idx="220">
                  <c:v>1061.8059420499824</c:v>
                </c:pt>
                <c:pt idx="221">
                  <c:v>1060.2952445865892</c:v>
                </c:pt>
                <c:pt idx="222">
                  <c:v>1058.784547123196</c:v>
                </c:pt>
                <c:pt idx="223">
                  <c:v>1057.2738496598029</c:v>
                </c:pt>
                <c:pt idx="224">
                  <c:v>1055.7631521964097</c:v>
                </c:pt>
                <c:pt idx="225">
                  <c:v>1054.2524547330165</c:v>
                </c:pt>
                <c:pt idx="226">
                  <c:v>1052.7417572696233</c:v>
                </c:pt>
                <c:pt idx="227">
                  <c:v>1051.2310598062302</c:v>
                </c:pt>
                <c:pt idx="228">
                  <c:v>1049.720362342837</c:v>
                </c:pt>
                <c:pt idx="229">
                  <c:v>1048.2096648794438</c:v>
                </c:pt>
                <c:pt idx="230">
                  <c:v>1046.6989674160507</c:v>
                </c:pt>
                <c:pt idx="231">
                  <c:v>1045.1882699526575</c:v>
                </c:pt>
                <c:pt idx="232">
                  <c:v>1043.6775724892643</c:v>
                </c:pt>
                <c:pt idx="233">
                  <c:v>1042.1668750258711</c:v>
                </c:pt>
                <c:pt idx="234">
                  <c:v>1040.656177562478</c:v>
                </c:pt>
                <c:pt idx="235">
                  <c:v>1039.1454800990848</c:v>
                </c:pt>
                <c:pt idx="236">
                  <c:v>1037.6347826356916</c:v>
                </c:pt>
                <c:pt idx="237">
                  <c:v>1036.1240851722985</c:v>
                </c:pt>
                <c:pt idx="238">
                  <c:v>1034.6133877089053</c:v>
                </c:pt>
                <c:pt idx="239">
                  <c:v>1033.1026902455121</c:v>
                </c:pt>
                <c:pt idx="240">
                  <c:v>1029.261714041409</c:v>
                </c:pt>
                <c:pt idx="241">
                  <c:v>1025.420737837306</c:v>
                </c:pt>
                <c:pt idx="242">
                  <c:v>1021.579761633203</c:v>
                </c:pt>
                <c:pt idx="243">
                  <c:v>1017.7387854291001</c:v>
                </c:pt>
                <c:pt idx="244">
                  <c:v>1013.8978092249971</c:v>
                </c:pt>
                <c:pt idx="245">
                  <c:v>1010.0568330208941</c:v>
                </c:pt>
                <c:pt idx="246">
                  <c:v>1006.2158568167912</c:v>
                </c:pt>
                <c:pt idx="247">
                  <c:v>1002.3748806126882</c:v>
                </c:pt>
                <c:pt idx="248">
                  <c:v>998.53390440858527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1077.6795790091687</c:v>
                </c:pt>
                <c:pt idx="2">
                  <c:v>1076.3411580183374</c:v>
                </c:pt>
                <c:pt idx="3">
                  <c:v>1125.0027370275061</c:v>
                </c:pt>
                <c:pt idx="4">
                  <c:v>1123.6643160366748</c:v>
                </c:pt>
                <c:pt idx="5">
                  <c:v>1122.3258950458435</c:v>
                </c:pt>
                <c:pt idx="6">
                  <c:v>1120.9874740550122</c:v>
                </c:pt>
                <c:pt idx="7">
                  <c:v>1119.6490530641809</c:v>
                </c:pt>
                <c:pt idx="8">
                  <c:v>1118.3106320733496</c:v>
                </c:pt>
                <c:pt idx="9">
                  <c:v>1116.9722110825182</c:v>
                </c:pt>
                <c:pt idx="10">
                  <c:v>1111.67</c:v>
                </c:pt>
                <c:pt idx="11">
                  <c:v>1110.3315790091688</c:v>
                </c:pt>
                <c:pt idx="12">
                  <c:v>1108.9931580183375</c:v>
                </c:pt>
                <c:pt idx="13">
                  <c:v>1107.6547370275061</c:v>
                </c:pt>
                <c:pt idx="14">
                  <c:v>1106.3163160366748</c:v>
                </c:pt>
                <c:pt idx="15">
                  <c:v>1104.9778950458435</c:v>
                </c:pt>
                <c:pt idx="16">
                  <c:v>1103.6394740550122</c:v>
                </c:pt>
                <c:pt idx="17">
                  <c:v>1102.3010530641809</c:v>
                </c:pt>
                <c:pt idx="18">
                  <c:v>1100.9626320733496</c:v>
                </c:pt>
                <c:pt idx="19">
                  <c:v>1099.6242110825183</c:v>
                </c:pt>
                <c:pt idx="20">
                  <c:v>1098.285790091687</c:v>
                </c:pt>
                <c:pt idx="21">
                  <c:v>1096.9473691008557</c:v>
                </c:pt>
                <c:pt idx="22">
                  <c:v>1095.6089481100244</c:v>
                </c:pt>
                <c:pt idx="23">
                  <c:v>1094.270527119193</c:v>
                </c:pt>
                <c:pt idx="24">
                  <c:v>1092.9321061283617</c:v>
                </c:pt>
                <c:pt idx="25">
                  <c:v>1091.5936851375304</c:v>
                </c:pt>
                <c:pt idx="26">
                  <c:v>1090.2552641466991</c:v>
                </c:pt>
                <c:pt idx="27">
                  <c:v>1088.9168431558678</c:v>
                </c:pt>
                <c:pt idx="28">
                  <c:v>1087.5784221650365</c:v>
                </c:pt>
                <c:pt idx="29">
                  <c:v>1086.2400011742052</c:v>
                </c:pt>
                <c:pt idx="30">
                  <c:v>1084.9015801833739</c:v>
                </c:pt>
                <c:pt idx="31">
                  <c:v>1083.5631591925426</c:v>
                </c:pt>
                <c:pt idx="32">
                  <c:v>1082.2247382017113</c:v>
                </c:pt>
                <c:pt idx="33">
                  <c:v>1080.88631721088</c:v>
                </c:pt>
                <c:pt idx="34">
                  <c:v>1079.5478962200486</c:v>
                </c:pt>
                <c:pt idx="35">
                  <c:v>1078.2094752292173</c:v>
                </c:pt>
                <c:pt idx="36">
                  <c:v>1076.871054238386</c:v>
                </c:pt>
                <c:pt idx="37">
                  <c:v>1075.5326332475547</c:v>
                </c:pt>
                <c:pt idx="38">
                  <c:v>1074.1942122567234</c:v>
                </c:pt>
                <c:pt idx="39">
                  <c:v>1072.8557912658921</c:v>
                </c:pt>
                <c:pt idx="40">
                  <c:v>1071.5173702750608</c:v>
                </c:pt>
                <c:pt idx="41">
                  <c:v>1070.1789492842295</c:v>
                </c:pt>
                <c:pt idx="42">
                  <c:v>1068.8405282933982</c:v>
                </c:pt>
                <c:pt idx="43">
                  <c:v>1067.5021073025669</c:v>
                </c:pt>
                <c:pt idx="44">
                  <c:v>1066.1636863117355</c:v>
                </c:pt>
                <c:pt idx="45">
                  <c:v>1064.8252653209042</c:v>
                </c:pt>
                <c:pt idx="46">
                  <c:v>1063.4868443300729</c:v>
                </c:pt>
                <c:pt idx="47">
                  <c:v>1062.1484233392416</c:v>
                </c:pt>
                <c:pt idx="48">
                  <c:v>1060.8100023484103</c:v>
                </c:pt>
                <c:pt idx="49">
                  <c:v>1059.471581357579</c:v>
                </c:pt>
                <c:pt idx="50">
                  <c:v>1058.1331603667477</c:v>
                </c:pt>
                <c:pt idx="51">
                  <c:v>1056.7947393759164</c:v>
                </c:pt>
                <c:pt idx="52">
                  <c:v>1055.4563183850851</c:v>
                </c:pt>
                <c:pt idx="53">
                  <c:v>1054.1178973942538</c:v>
                </c:pt>
                <c:pt idx="54">
                  <c:v>1052.7794764034224</c:v>
                </c:pt>
                <c:pt idx="55">
                  <c:v>1051.4410554125911</c:v>
                </c:pt>
                <c:pt idx="56">
                  <c:v>1050.1026344217598</c:v>
                </c:pt>
                <c:pt idx="57">
                  <c:v>1048.7642134309285</c:v>
                </c:pt>
                <c:pt idx="58">
                  <c:v>1047.4257924400972</c:v>
                </c:pt>
                <c:pt idx="59">
                  <c:v>1046.0873714492659</c:v>
                </c:pt>
                <c:pt idx="60">
                  <c:v>1044.7489504584346</c:v>
                </c:pt>
                <c:pt idx="61">
                  <c:v>1043.4105294676033</c:v>
                </c:pt>
                <c:pt idx="62">
                  <c:v>1042.072108476772</c:v>
                </c:pt>
                <c:pt idx="63">
                  <c:v>1040.7336874859407</c:v>
                </c:pt>
                <c:pt idx="64">
                  <c:v>1039.3952664951094</c:v>
                </c:pt>
                <c:pt idx="65">
                  <c:v>1038.056845504278</c:v>
                </c:pt>
                <c:pt idx="66">
                  <c:v>1036.7184245134467</c:v>
                </c:pt>
                <c:pt idx="67">
                  <c:v>1035.3800035226154</c:v>
                </c:pt>
                <c:pt idx="68">
                  <c:v>1034.0415825317841</c:v>
                </c:pt>
                <c:pt idx="69">
                  <c:v>1032.7031615409528</c:v>
                </c:pt>
                <c:pt idx="70">
                  <c:v>1031.3647405501215</c:v>
                </c:pt>
                <c:pt idx="71">
                  <c:v>1030.0263195592902</c:v>
                </c:pt>
                <c:pt idx="72">
                  <c:v>1028.6878985684589</c:v>
                </c:pt>
                <c:pt idx="73">
                  <c:v>1027.3494775776276</c:v>
                </c:pt>
                <c:pt idx="74">
                  <c:v>1026.0110565867963</c:v>
                </c:pt>
                <c:pt idx="75">
                  <c:v>1024.6726355959649</c:v>
                </c:pt>
                <c:pt idx="76">
                  <c:v>1023.3342146051338</c:v>
                </c:pt>
                <c:pt idx="77">
                  <c:v>1021.9957936143026</c:v>
                </c:pt>
                <c:pt idx="78">
                  <c:v>1020.6573726234714</c:v>
                </c:pt>
                <c:pt idx="79">
                  <c:v>1019.3189516326402</c:v>
                </c:pt>
                <c:pt idx="80">
                  <c:v>1017.980530641809</c:v>
                </c:pt>
                <c:pt idx="81">
                  <c:v>1016.2141055879756</c:v>
                </c:pt>
                <c:pt idx="82">
                  <c:v>1014.4476805341423</c:v>
                </c:pt>
                <c:pt idx="83">
                  <c:v>1012.6812554803089</c:v>
                </c:pt>
                <c:pt idx="84">
                  <c:v>1010.9148304264755</c:v>
                </c:pt>
                <c:pt idx="85">
                  <c:v>1009.1484053726422</c:v>
                </c:pt>
                <c:pt idx="86">
                  <c:v>1007.3819803188088</c:v>
                </c:pt>
                <c:pt idx="87">
                  <c:v>1005.6155552649755</c:v>
                </c:pt>
                <c:pt idx="88">
                  <c:v>1003.8491302111421</c:v>
                </c:pt>
                <c:pt idx="89">
                  <c:v>1002.0827051573087</c:v>
                </c:pt>
                <c:pt idx="90">
                  <c:v>1000.3162801034754</c:v>
                </c:pt>
                <c:pt idx="91">
                  <c:v>998.54985504964202</c:v>
                </c:pt>
                <c:pt idx="92">
                  <c:v>996.78342999580866</c:v>
                </c:pt>
                <c:pt idx="93">
                  <c:v>995.0170049419753</c:v>
                </c:pt>
                <c:pt idx="94">
                  <c:v>993.25057988814194</c:v>
                </c:pt>
                <c:pt idx="95">
                  <c:v>991.48415483430858</c:v>
                </c:pt>
                <c:pt idx="96">
                  <c:v>989.71772978047522</c:v>
                </c:pt>
                <c:pt idx="97">
                  <c:v>987.95130472664187</c:v>
                </c:pt>
                <c:pt idx="98">
                  <c:v>986.18487967280851</c:v>
                </c:pt>
                <c:pt idx="99">
                  <c:v>984.41845461897515</c:v>
                </c:pt>
                <c:pt idx="100">
                  <c:v>982.65202956514179</c:v>
                </c:pt>
                <c:pt idx="101">
                  <c:v>980.88560451130843</c:v>
                </c:pt>
                <c:pt idx="102">
                  <c:v>979.11917945747507</c:v>
                </c:pt>
                <c:pt idx="103">
                  <c:v>977.35275440364171</c:v>
                </c:pt>
                <c:pt idx="104">
                  <c:v>975.58632934980835</c:v>
                </c:pt>
                <c:pt idx="105">
                  <c:v>973.81990429597499</c:v>
                </c:pt>
                <c:pt idx="106">
                  <c:v>972.05347924214163</c:v>
                </c:pt>
                <c:pt idx="107">
                  <c:v>970.28705418830828</c:v>
                </c:pt>
                <c:pt idx="108">
                  <c:v>968.52062913447492</c:v>
                </c:pt>
                <c:pt idx="109">
                  <c:v>966.75420408064156</c:v>
                </c:pt>
                <c:pt idx="110">
                  <c:v>964.9877790268082</c:v>
                </c:pt>
                <c:pt idx="111">
                  <c:v>963.22135397297484</c:v>
                </c:pt>
                <c:pt idx="112">
                  <c:v>962.19246989877138</c:v>
                </c:pt>
                <c:pt idx="113">
                  <c:v>1043.4839999999999</c:v>
                </c:pt>
                <c:pt idx="114">
                  <c:v>1042.4551159257965</c:v>
                </c:pt>
                <c:pt idx="115">
                  <c:v>1041.426231851593</c:v>
                </c:pt>
                <c:pt idx="116">
                  <c:v>1040.3973477773895</c:v>
                </c:pt>
                <c:pt idx="117">
                  <c:v>1039.3684637031861</c:v>
                </c:pt>
                <c:pt idx="118">
                  <c:v>1038.3395796289826</c:v>
                </c:pt>
                <c:pt idx="119">
                  <c:v>1037.3106955547792</c:v>
                </c:pt>
                <c:pt idx="120">
                  <c:v>1036.2818114805757</c:v>
                </c:pt>
                <c:pt idx="121">
                  <c:v>1035.2529274063722</c:v>
                </c:pt>
                <c:pt idx="122">
                  <c:v>1034.2240433321688</c:v>
                </c:pt>
                <c:pt idx="123">
                  <c:v>1033.1951592579653</c:v>
                </c:pt>
                <c:pt idx="124">
                  <c:v>1032.1662751837619</c:v>
                </c:pt>
                <c:pt idx="125">
                  <c:v>1031.1373911095584</c:v>
                </c:pt>
                <c:pt idx="126">
                  <c:v>1030.1085070353549</c:v>
                </c:pt>
                <c:pt idx="127">
                  <c:v>1029.0796229611515</c:v>
                </c:pt>
                <c:pt idx="128">
                  <c:v>1028.050738886948</c:v>
                </c:pt>
                <c:pt idx="129">
                  <c:v>1027.0218548127446</c:v>
                </c:pt>
                <c:pt idx="130">
                  <c:v>1025.9929707385411</c:v>
                </c:pt>
                <c:pt idx="131">
                  <c:v>1024.9640866643376</c:v>
                </c:pt>
                <c:pt idx="132">
                  <c:v>1023.9352025901342</c:v>
                </c:pt>
                <c:pt idx="133">
                  <c:v>1022.9063185159307</c:v>
                </c:pt>
                <c:pt idx="134">
                  <c:v>1021.8774344417272</c:v>
                </c:pt>
                <c:pt idx="135">
                  <c:v>1020.8485503675238</c:v>
                </c:pt>
                <c:pt idx="136">
                  <c:v>1183.819</c:v>
                </c:pt>
                <c:pt idx="137">
                  <c:v>1182.7901159257965</c:v>
                </c:pt>
                <c:pt idx="138">
                  <c:v>1181.761231851593</c:v>
                </c:pt>
                <c:pt idx="139">
                  <c:v>1180.7323477773896</c:v>
                </c:pt>
                <c:pt idx="140">
                  <c:v>1179.7034637031861</c:v>
                </c:pt>
                <c:pt idx="141">
                  <c:v>1178.6745796289827</c:v>
                </c:pt>
                <c:pt idx="142">
                  <c:v>1177.6456955547792</c:v>
                </c:pt>
                <c:pt idx="143">
                  <c:v>1176.6168114805757</c:v>
                </c:pt>
                <c:pt idx="144">
                  <c:v>1175.5879274063723</c:v>
                </c:pt>
                <c:pt idx="145">
                  <c:v>1174.5590433321688</c:v>
                </c:pt>
                <c:pt idx="146">
                  <c:v>1173.5301592579654</c:v>
                </c:pt>
                <c:pt idx="147">
                  <c:v>1172.5012751837619</c:v>
                </c:pt>
                <c:pt idx="148">
                  <c:v>1171.4723911095584</c:v>
                </c:pt>
                <c:pt idx="149">
                  <c:v>1170.443507035355</c:v>
                </c:pt>
                <c:pt idx="150">
                  <c:v>1169.4146229611515</c:v>
                </c:pt>
                <c:pt idx="151">
                  <c:v>1168.385738886948</c:v>
                </c:pt>
                <c:pt idx="152">
                  <c:v>1167.3568548127446</c:v>
                </c:pt>
                <c:pt idx="153">
                  <c:v>1166.3279707385411</c:v>
                </c:pt>
                <c:pt idx="154">
                  <c:v>1165.2990866643377</c:v>
                </c:pt>
                <c:pt idx="155">
                  <c:v>1164.2702025901342</c:v>
                </c:pt>
                <c:pt idx="156">
                  <c:v>1163.2413185159307</c:v>
                </c:pt>
                <c:pt idx="157">
                  <c:v>1162.2124344417273</c:v>
                </c:pt>
                <c:pt idx="158">
                  <c:v>1161.1835503675238</c:v>
                </c:pt>
                <c:pt idx="159">
                  <c:v>1160.1546662933204</c:v>
                </c:pt>
                <c:pt idx="160">
                  <c:v>1159.1257822191169</c:v>
                </c:pt>
                <c:pt idx="161">
                  <c:v>1158.0968981449134</c:v>
                </c:pt>
                <c:pt idx="162">
                  <c:v>1157.06801407071</c:v>
                </c:pt>
                <c:pt idx="163">
                  <c:v>1156.0391299965065</c:v>
                </c:pt>
                <c:pt idx="164">
                  <c:v>1146.405</c:v>
                </c:pt>
                <c:pt idx="165">
                  <c:v>1144.6385749461667</c:v>
                </c:pt>
                <c:pt idx="166">
                  <c:v>1142.8721498923335</c:v>
                </c:pt>
                <c:pt idx="167">
                  <c:v>1141.1057248385002</c:v>
                </c:pt>
                <c:pt idx="168">
                  <c:v>1139.339299784667</c:v>
                </c:pt>
                <c:pt idx="169">
                  <c:v>1137.5728747308337</c:v>
                </c:pt>
                <c:pt idx="170">
                  <c:v>1135.8064496770005</c:v>
                </c:pt>
                <c:pt idx="171">
                  <c:v>1134.0400246231673</c:v>
                </c:pt>
                <c:pt idx="172">
                  <c:v>1132.273599569334</c:v>
                </c:pt>
                <c:pt idx="173">
                  <c:v>1130.5071745155008</c:v>
                </c:pt>
                <c:pt idx="174">
                  <c:v>1128.7407494616675</c:v>
                </c:pt>
                <c:pt idx="175">
                  <c:v>1126.9743244078343</c:v>
                </c:pt>
                <c:pt idx="176">
                  <c:v>1125.207899354001</c:v>
                </c:pt>
                <c:pt idx="177">
                  <c:v>1123.4414743001678</c:v>
                </c:pt>
                <c:pt idx="178">
                  <c:v>1121.6750492463345</c:v>
                </c:pt>
                <c:pt idx="179">
                  <c:v>1119.9086241925013</c:v>
                </c:pt>
                <c:pt idx="180">
                  <c:v>1118.142199138668</c:v>
                </c:pt>
                <c:pt idx="181">
                  <c:v>1116.3757740848348</c:v>
                </c:pt>
                <c:pt idx="182">
                  <c:v>1114.6093490310016</c:v>
                </c:pt>
                <c:pt idx="183">
                  <c:v>1112.8429239771683</c:v>
                </c:pt>
                <c:pt idx="184">
                  <c:v>1111.0764989233351</c:v>
                </c:pt>
                <c:pt idx="185">
                  <c:v>1109.3100738695018</c:v>
                </c:pt>
                <c:pt idx="186">
                  <c:v>1107.5436488156686</c:v>
                </c:pt>
                <c:pt idx="187">
                  <c:v>1105.7772237618353</c:v>
                </c:pt>
                <c:pt idx="188">
                  <c:v>1104.0107987080021</c:v>
                </c:pt>
                <c:pt idx="189">
                  <c:v>1102.2443736541688</c:v>
                </c:pt>
                <c:pt idx="190">
                  <c:v>1100.4779486003356</c:v>
                </c:pt>
                <c:pt idx="191">
                  <c:v>1098.7115235465023</c:v>
                </c:pt>
                <c:pt idx="192">
                  <c:v>1096.9450984926691</c:v>
                </c:pt>
                <c:pt idx="193">
                  <c:v>1095.1786734388359</c:v>
                </c:pt>
                <c:pt idx="194">
                  <c:v>1093.4122483850026</c:v>
                </c:pt>
                <c:pt idx="195">
                  <c:v>1091.6458233311694</c:v>
                </c:pt>
                <c:pt idx="196">
                  <c:v>1089.8793982773361</c:v>
                </c:pt>
                <c:pt idx="197">
                  <c:v>1088.1129732235029</c:v>
                </c:pt>
                <c:pt idx="198">
                  <c:v>1086.3465481696696</c:v>
                </c:pt>
                <c:pt idx="199">
                  <c:v>1084.5801231158364</c:v>
                </c:pt>
                <c:pt idx="200">
                  <c:v>1082.8136980620031</c:v>
                </c:pt>
                <c:pt idx="201">
                  <c:v>1081.0472730081699</c:v>
                </c:pt>
                <c:pt idx="202">
                  <c:v>1079.2808479543367</c:v>
                </c:pt>
                <c:pt idx="203">
                  <c:v>1077.5144229005034</c:v>
                </c:pt>
                <c:pt idx="204">
                  <c:v>1075.7479978466702</c:v>
                </c:pt>
                <c:pt idx="205">
                  <c:v>1073.9815727928369</c:v>
                </c:pt>
                <c:pt idx="206">
                  <c:v>1072.2151477390037</c:v>
                </c:pt>
                <c:pt idx="207">
                  <c:v>1070.4487226851704</c:v>
                </c:pt>
                <c:pt idx="208">
                  <c:v>1068.6822976313372</c:v>
                </c:pt>
                <c:pt idx="209">
                  <c:v>1066.9158725775039</c:v>
                </c:pt>
                <c:pt idx="210">
                  <c:v>1065.1494475236707</c:v>
                </c:pt>
                <c:pt idx="211">
                  <c:v>1063.3830224698374</c:v>
                </c:pt>
                <c:pt idx="212">
                  <c:v>1061.6165974160042</c:v>
                </c:pt>
                <c:pt idx="213">
                  <c:v>1059.850172362171</c:v>
                </c:pt>
                <c:pt idx="214">
                  <c:v>1058.0837473083377</c:v>
                </c:pt>
                <c:pt idx="215">
                  <c:v>1056.3173222545045</c:v>
                </c:pt>
                <c:pt idx="216">
                  <c:v>1054.5508972006712</c:v>
                </c:pt>
                <c:pt idx="217">
                  <c:v>1052.784472146838</c:v>
                </c:pt>
                <c:pt idx="218">
                  <c:v>1051.0180470930047</c:v>
                </c:pt>
                <c:pt idx="219">
                  <c:v>1049.2516220391715</c:v>
                </c:pt>
                <c:pt idx="220">
                  <c:v>1047.4851969853382</c:v>
                </c:pt>
                <c:pt idx="221">
                  <c:v>1045.718771931505</c:v>
                </c:pt>
                <c:pt idx="222">
                  <c:v>1043.9523468776717</c:v>
                </c:pt>
                <c:pt idx="223">
                  <c:v>1042.1859218238385</c:v>
                </c:pt>
                <c:pt idx="224">
                  <c:v>1040.4194967700053</c:v>
                </c:pt>
                <c:pt idx="225">
                  <c:v>1038.653071716172</c:v>
                </c:pt>
                <c:pt idx="226">
                  <c:v>1036.8866466623388</c:v>
                </c:pt>
                <c:pt idx="227">
                  <c:v>1035.1202216085055</c:v>
                </c:pt>
                <c:pt idx="228">
                  <c:v>1033.3537965546723</c:v>
                </c:pt>
                <c:pt idx="229">
                  <c:v>1031.587371500839</c:v>
                </c:pt>
                <c:pt idx="230">
                  <c:v>1029.8209464470058</c:v>
                </c:pt>
                <c:pt idx="231">
                  <c:v>1028.0545213931725</c:v>
                </c:pt>
                <c:pt idx="232">
                  <c:v>1026.2880963393393</c:v>
                </c:pt>
                <c:pt idx="233">
                  <c:v>1024.521671285506</c:v>
                </c:pt>
                <c:pt idx="234">
                  <c:v>1022.7552462316727</c:v>
                </c:pt>
                <c:pt idx="235">
                  <c:v>1020.9888211778393</c:v>
                </c:pt>
                <c:pt idx="236">
                  <c:v>1019.222396124006</c:v>
                </c:pt>
                <c:pt idx="237">
                  <c:v>1017.4559710701726</c:v>
                </c:pt>
                <c:pt idx="238">
                  <c:v>1015.6895460163392</c:v>
                </c:pt>
                <c:pt idx="239">
                  <c:v>1013.9231209625059</c:v>
                </c:pt>
                <c:pt idx="240">
                  <c:v>1009.413499644514</c:v>
                </c:pt>
                <c:pt idx="241">
                  <c:v>1004.9038783265221</c:v>
                </c:pt>
                <c:pt idx="242">
                  <c:v>1000.3942570085302</c:v>
                </c:pt>
                <c:pt idx="243">
                  <c:v>995.88463569053829</c:v>
                </c:pt>
                <c:pt idx="244">
                  <c:v>991.37501437254639</c:v>
                </c:pt>
                <c:pt idx="245">
                  <c:v>986.86539305455449</c:v>
                </c:pt>
                <c:pt idx="246">
                  <c:v>982.35577173656259</c:v>
                </c:pt>
                <c:pt idx="247">
                  <c:v>977.84615041857069</c:v>
                </c:pt>
                <c:pt idx="248">
                  <c:v>973.33652910057879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1077.3296049700054</c:v>
                </c:pt>
                <c:pt idx="2">
                  <c:v>1075.6412099400109</c:v>
                </c:pt>
                <c:pt idx="3">
                  <c:v>1123.9528149100163</c:v>
                </c:pt>
                <c:pt idx="4">
                  <c:v>1122.2644198800217</c:v>
                </c:pt>
                <c:pt idx="5">
                  <c:v>1120.5760248500271</c:v>
                </c:pt>
                <c:pt idx="6">
                  <c:v>1118.8876298200325</c:v>
                </c:pt>
                <c:pt idx="7">
                  <c:v>1117.199234790038</c:v>
                </c:pt>
                <c:pt idx="8">
                  <c:v>1115.5108397600434</c:v>
                </c:pt>
                <c:pt idx="9">
                  <c:v>1113.8224447300488</c:v>
                </c:pt>
                <c:pt idx="10">
                  <c:v>1111.67</c:v>
                </c:pt>
                <c:pt idx="11">
                  <c:v>1109.9816049700055</c:v>
                </c:pt>
                <c:pt idx="12">
                  <c:v>1108.2932099400109</c:v>
                </c:pt>
                <c:pt idx="13">
                  <c:v>1106.6048149100163</c:v>
                </c:pt>
                <c:pt idx="14">
                  <c:v>1104.9164198800217</c:v>
                </c:pt>
                <c:pt idx="15">
                  <c:v>1103.2280248500272</c:v>
                </c:pt>
                <c:pt idx="16">
                  <c:v>1101.5396298200326</c:v>
                </c:pt>
                <c:pt idx="17">
                  <c:v>1099.851234790038</c:v>
                </c:pt>
                <c:pt idx="18">
                  <c:v>1098.1628397600434</c:v>
                </c:pt>
                <c:pt idx="19">
                  <c:v>1096.4744447300488</c:v>
                </c:pt>
                <c:pt idx="20">
                  <c:v>1094.7860497000543</c:v>
                </c:pt>
                <c:pt idx="21">
                  <c:v>1093.0976546700597</c:v>
                </c:pt>
                <c:pt idx="22">
                  <c:v>1091.4092596400651</c:v>
                </c:pt>
                <c:pt idx="23">
                  <c:v>1089.7208646100705</c:v>
                </c:pt>
                <c:pt idx="24">
                  <c:v>1088.0324695800759</c:v>
                </c:pt>
                <c:pt idx="25">
                  <c:v>1086.3440745500814</c:v>
                </c:pt>
                <c:pt idx="26">
                  <c:v>1084.6556795200868</c:v>
                </c:pt>
                <c:pt idx="27">
                  <c:v>1082.9672844900922</c:v>
                </c:pt>
                <c:pt idx="28">
                  <c:v>1081.2788894600976</c:v>
                </c:pt>
                <c:pt idx="29">
                  <c:v>1079.590494430103</c:v>
                </c:pt>
                <c:pt idx="30">
                  <c:v>1077.9020994001085</c:v>
                </c:pt>
                <c:pt idx="31">
                  <c:v>1076.2137043701139</c:v>
                </c:pt>
                <c:pt idx="32">
                  <c:v>1074.5253093401193</c:v>
                </c:pt>
                <c:pt idx="33">
                  <c:v>1072.8369143101247</c:v>
                </c:pt>
                <c:pt idx="34">
                  <c:v>1071.1485192801301</c:v>
                </c:pt>
                <c:pt idx="35">
                  <c:v>1069.4601242501356</c:v>
                </c:pt>
                <c:pt idx="36">
                  <c:v>1067.771729220141</c:v>
                </c:pt>
                <c:pt idx="37">
                  <c:v>1066.0833341901464</c:v>
                </c:pt>
                <c:pt idx="38">
                  <c:v>1064.3949391601518</c:v>
                </c:pt>
                <c:pt idx="39">
                  <c:v>1062.7065441301572</c:v>
                </c:pt>
                <c:pt idx="40">
                  <c:v>1061.0181491001626</c:v>
                </c:pt>
                <c:pt idx="41">
                  <c:v>1059.3297540701681</c:v>
                </c:pt>
                <c:pt idx="42">
                  <c:v>1057.6413590401735</c:v>
                </c:pt>
                <c:pt idx="43">
                  <c:v>1055.9529640101789</c:v>
                </c:pt>
                <c:pt idx="44">
                  <c:v>1054.2645689801843</c:v>
                </c:pt>
                <c:pt idx="45">
                  <c:v>1052.5761739501897</c:v>
                </c:pt>
                <c:pt idx="46">
                  <c:v>1050.8877789201952</c:v>
                </c:pt>
                <c:pt idx="47">
                  <c:v>1049.1993838902006</c:v>
                </c:pt>
                <c:pt idx="48">
                  <c:v>1047.510988860206</c:v>
                </c:pt>
                <c:pt idx="49">
                  <c:v>1045.8225938302114</c:v>
                </c:pt>
                <c:pt idx="50">
                  <c:v>1044.1341988002168</c:v>
                </c:pt>
                <c:pt idx="51">
                  <c:v>1042.4458037702223</c:v>
                </c:pt>
                <c:pt idx="52">
                  <c:v>1040.7574087402277</c:v>
                </c:pt>
                <c:pt idx="53">
                  <c:v>1039.0690137102331</c:v>
                </c:pt>
                <c:pt idx="54">
                  <c:v>1037.3806186802385</c:v>
                </c:pt>
                <c:pt idx="55">
                  <c:v>1035.6922236502439</c:v>
                </c:pt>
                <c:pt idx="56">
                  <c:v>1034.0038286202494</c:v>
                </c:pt>
                <c:pt idx="57">
                  <c:v>1032.3154335902548</c:v>
                </c:pt>
                <c:pt idx="58">
                  <c:v>1030.6270385602602</c:v>
                </c:pt>
                <c:pt idx="59">
                  <c:v>1028.9386435302656</c:v>
                </c:pt>
                <c:pt idx="60">
                  <c:v>1027.250248500271</c:v>
                </c:pt>
                <c:pt idx="61">
                  <c:v>1025.5618534702764</c:v>
                </c:pt>
                <c:pt idx="62">
                  <c:v>1023.873458440282</c:v>
                </c:pt>
                <c:pt idx="63">
                  <c:v>1022.1850634102875</c:v>
                </c:pt>
                <c:pt idx="64">
                  <c:v>1020.496668380293</c:v>
                </c:pt>
                <c:pt idx="65">
                  <c:v>1018.8082733502986</c:v>
                </c:pt>
                <c:pt idx="66">
                  <c:v>1017.1198783203041</c:v>
                </c:pt>
                <c:pt idx="67">
                  <c:v>1015.4314832903096</c:v>
                </c:pt>
                <c:pt idx="68">
                  <c:v>1013.7430882603152</c:v>
                </c:pt>
                <c:pt idx="69">
                  <c:v>1012.0546932303207</c:v>
                </c:pt>
                <c:pt idx="70">
                  <c:v>1010.3662982003262</c:v>
                </c:pt>
                <c:pt idx="71">
                  <c:v>1008.6779031703318</c:v>
                </c:pt>
                <c:pt idx="72">
                  <c:v>1006.9895081403373</c:v>
                </c:pt>
                <c:pt idx="73">
                  <c:v>1005.3011131103428</c:v>
                </c:pt>
                <c:pt idx="74">
                  <c:v>1003.6127180803484</c:v>
                </c:pt>
                <c:pt idx="75">
                  <c:v>1001.9243230503539</c:v>
                </c:pt>
                <c:pt idx="76">
                  <c:v>1000.2359280203594</c:v>
                </c:pt>
                <c:pt idx="77">
                  <c:v>998.54753299036497</c:v>
                </c:pt>
                <c:pt idx="78">
                  <c:v>996.8591379603705</c:v>
                </c:pt>
                <c:pt idx="79">
                  <c:v>995.17074293037604</c:v>
                </c:pt>
                <c:pt idx="80">
                  <c:v>993.48234790038157</c:v>
                </c:pt>
                <c:pt idx="81">
                  <c:v>991.24930318963163</c:v>
                </c:pt>
                <c:pt idx="82">
                  <c:v>989.0162584788817</c:v>
                </c:pt>
                <c:pt idx="83">
                  <c:v>986.78321376813176</c:v>
                </c:pt>
                <c:pt idx="84">
                  <c:v>984.55016905738182</c:v>
                </c:pt>
                <c:pt idx="85">
                  <c:v>982.31712434663189</c:v>
                </c:pt>
                <c:pt idx="86">
                  <c:v>980.08407963588195</c:v>
                </c:pt>
                <c:pt idx="87">
                  <c:v>977.85103492513201</c:v>
                </c:pt>
                <c:pt idx="88">
                  <c:v>975.61799021438208</c:v>
                </c:pt>
                <c:pt idx="89">
                  <c:v>973.38494550363214</c:v>
                </c:pt>
                <c:pt idx="90">
                  <c:v>971.1519007928822</c:v>
                </c:pt>
                <c:pt idx="91">
                  <c:v>968.91885608213227</c:v>
                </c:pt>
                <c:pt idx="92">
                  <c:v>966.68581137138233</c:v>
                </c:pt>
                <c:pt idx="93">
                  <c:v>964.45276666063239</c:v>
                </c:pt>
                <c:pt idx="94">
                  <c:v>962.21972194988246</c:v>
                </c:pt>
                <c:pt idx="95">
                  <c:v>959.98667723913252</c:v>
                </c:pt>
                <c:pt idx="96">
                  <c:v>957.75363252838258</c:v>
                </c:pt>
                <c:pt idx="97">
                  <c:v>955.52058781763265</c:v>
                </c:pt>
                <c:pt idx="98">
                  <c:v>953.28754310688271</c:v>
                </c:pt>
                <c:pt idx="99">
                  <c:v>951.05449839613277</c:v>
                </c:pt>
                <c:pt idx="100">
                  <c:v>948.82145368538283</c:v>
                </c:pt>
                <c:pt idx="101">
                  <c:v>946.5884089746329</c:v>
                </c:pt>
                <c:pt idx="102">
                  <c:v>944.35536426388296</c:v>
                </c:pt>
                <c:pt idx="103">
                  <c:v>942.12231955313302</c:v>
                </c:pt>
                <c:pt idx="104">
                  <c:v>939.88927484238309</c:v>
                </c:pt>
                <c:pt idx="105">
                  <c:v>937.65623013163315</c:v>
                </c:pt>
                <c:pt idx="106">
                  <c:v>935.42318542088321</c:v>
                </c:pt>
                <c:pt idx="107">
                  <c:v>933.19014071013328</c:v>
                </c:pt>
                <c:pt idx="108">
                  <c:v>930.95709599938334</c:v>
                </c:pt>
                <c:pt idx="109">
                  <c:v>928.7240512886334</c:v>
                </c:pt>
                <c:pt idx="110">
                  <c:v>926.49100657788347</c:v>
                </c:pt>
                <c:pt idx="111">
                  <c:v>924.25796186713353</c:v>
                </c:pt>
                <c:pt idx="112">
                  <c:v>922.96265190596637</c:v>
                </c:pt>
                <c:pt idx="113">
                  <c:v>1043.4839999999999</c:v>
                </c:pt>
                <c:pt idx="114">
                  <c:v>1042.1886900388329</c:v>
                </c:pt>
                <c:pt idx="115">
                  <c:v>1040.8933800776658</c:v>
                </c:pt>
                <c:pt idx="116">
                  <c:v>1039.5980701164988</c:v>
                </c:pt>
                <c:pt idx="117">
                  <c:v>1038.3027601553317</c:v>
                </c:pt>
                <c:pt idx="118">
                  <c:v>1037.0074501941647</c:v>
                </c:pt>
                <c:pt idx="119">
                  <c:v>1035.7121402329976</c:v>
                </c:pt>
                <c:pt idx="120">
                  <c:v>1034.4168302718306</c:v>
                </c:pt>
                <c:pt idx="121">
                  <c:v>1033.1215203106635</c:v>
                </c:pt>
                <c:pt idx="122">
                  <c:v>1031.8262103494965</c:v>
                </c:pt>
                <c:pt idx="123">
                  <c:v>1030.5309003883294</c:v>
                </c:pt>
                <c:pt idx="124">
                  <c:v>1029.2355904271624</c:v>
                </c:pt>
                <c:pt idx="125">
                  <c:v>1027.9402804659953</c:v>
                </c:pt>
                <c:pt idx="126">
                  <c:v>1026.6449705048283</c:v>
                </c:pt>
                <c:pt idx="127">
                  <c:v>1025.3496605436612</c:v>
                </c:pt>
                <c:pt idx="128">
                  <c:v>1024.0543505824942</c:v>
                </c:pt>
                <c:pt idx="129">
                  <c:v>1022.759040621327</c:v>
                </c:pt>
                <c:pt idx="130">
                  <c:v>1021.4637306601599</c:v>
                </c:pt>
                <c:pt idx="131">
                  <c:v>1020.1684206989927</c:v>
                </c:pt>
                <c:pt idx="132">
                  <c:v>1018.8731107378255</c:v>
                </c:pt>
                <c:pt idx="133">
                  <c:v>1017.5778007766584</c:v>
                </c:pt>
                <c:pt idx="134">
                  <c:v>1016.2824908154912</c:v>
                </c:pt>
                <c:pt idx="135">
                  <c:v>1014.987180854324</c:v>
                </c:pt>
                <c:pt idx="136">
                  <c:v>1183.819</c:v>
                </c:pt>
                <c:pt idx="137">
                  <c:v>1182.5236900388329</c:v>
                </c:pt>
                <c:pt idx="138">
                  <c:v>1181.2283800776659</c:v>
                </c:pt>
                <c:pt idx="139">
                  <c:v>1179.9330701164988</c:v>
                </c:pt>
                <c:pt idx="140">
                  <c:v>1178.6377601553318</c:v>
                </c:pt>
                <c:pt idx="141">
                  <c:v>1177.3424501941647</c:v>
                </c:pt>
                <c:pt idx="142">
                  <c:v>1176.0471402329977</c:v>
                </c:pt>
                <c:pt idx="143">
                  <c:v>1174.7518302718306</c:v>
                </c:pt>
                <c:pt idx="144">
                  <c:v>1173.4565203106636</c:v>
                </c:pt>
                <c:pt idx="145">
                  <c:v>1172.1612103494965</c:v>
                </c:pt>
                <c:pt idx="146">
                  <c:v>1170.8659003883295</c:v>
                </c:pt>
                <c:pt idx="147">
                  <c:v>1169.5705904271624</c:v>
                </c:pt>
                <c:pt idx="148">
                  <c:v>1168.2752804659954</c:v>
                </c:pt>
                <c:pt idx="149">
                  <c:v>1166.9799705048283</c:v>
                </c:pt>
                <c:pt idx="150">
                  <c:v>1165.6846605436613</c:v>
                </c:pt>
                <c:pt idx="151">
                  <c:v>1164.3893505824942</c:v>
                </c:pt>
                <c:pt idx="152">
                  <c:v>1163.0940406213272</c:v>
                </c:pt>
                <c:pt idx="153">
                  <c:v>1161.7987306601601</c:v>
                </c:pt>
                <c:pt idx="154">
                  <c:v>1160.5034206989931</c:v>
                </c:pt>
                <c:pt idx="155">
                  <c:v>1159.208110737826</c:v>
                </c:pt>
                <c:pt idx="156">
                  <c:v>1157.912800776659</c:v>
                </c:pt>
                <c:pt idx="157">
                  <c:v>1156.6174908154919</c:v>
                </c:pt>
                <c:pt idx="158">
                  <c:v>1155.3221808543249</c:v>
                </c:pt>
                <c:pt idx="159">
                  <c:v>1154.0268708931578</c:v>
                </c:pt>
                <c:pt idx="160">
                  <c:v>1152.7315609319908</c:v>
                </c:pt>
                <c:pt idx="161">
                  <c:v>1151.4362509708237</c:v>
                </c:pt>
                <c:pt idx="162">
                  <c:v>1150.1409410096567</c:v>
                </c:pt>
                <c:pt idx="163">
                  <c:v>1148.8456310484896</c:v>
                </c:pt>
                <c:pt idx="164">
                  <c:v>1146.405</c:v>
                </c:pt>
                <c:pt idx="165">
                  <c:v>1144.17195528925</c:v>
                </c:pt>
                <c:pt idx="166">
                  <c:v>1141.9389105785001</c:v>
                </c:pt>
                <c:pt idx="167">
                  <c:v>1139.7058658677502</c:v>
                </c:pt>
                <c:pt idx="168">
                  <c:v>1137.4728211570002</c:v>
                </c:pt>
                <c:pt idx="169">
                  <c:v>1135.2397764462503</c:v>
                </c:pt>
                <c:pt idx="170">
                  <c:v>1133.0067317355004</c:v>
                </c:pt>
                <c:pt idx="171">
                  <c:v>1130.7736870247504</c:v>
                </c:pt>
                <c:pt idx="172">
                  <c:v>1128.5406423140005</c:v>
                </c:pt>
                <c:pt idx="173">
                  <c:v>1126.3075976032505</c:v>
                </c:pt>
                <c:pt idx="174">
                  <c:v>1124.0745528925006</c:v>
                </c:pt>
                <c:pt idx="175">
                  <c:v>1121.8415081817507</c:v>
                </c:pt>
                <c:pt idx="176">
                  <c:v>1119.6084634710007</c:v>
                </c:pt>
                <c:pt idx="177">
                  <c:v>1117.3754187602508</c:v>
                </c:pt>
                <c:pt idx="178">
                  <c:v>1115.1423740495009</c:v>
                </c:pt>
                <c:pt idx="179">
                  <c:v>1112.9093293387509</c:v>
                </c:pt>
                <c:pt idx="180">
                  <c:v>1110.676284628001</c:v>
                </c:pt>
                <c:pt idx="181">
                  <c:v>1108.443239917251</c:v>
                </c:pt>
                <c:pt idx="182">
                  <c:v>1106.2101952065011</c:v>
                </c:pt>
                <c:pt idx="183">
                  <c:v>1103.9771504957512</c:v>
                </c:pt>
                <c:pt idx="184">
                  <c:v>1101.7441057850012</c:v>
                </c:pt>
                <c:pt idx="185">
                  <c:v>1099.5110610742513</c:v>
                </c:pt>
                <c:pt idx="186">
                  <c:v>1097.2780163635014</c:v>
                </c:pt>
                <c:pt idx="187">
                  <c:v>1095.0449716527514</c:v>
                </c:pt>
                <c:pt idx="188">
                  <c:v>1092.8119269420015</c:v>
                </c:pt>
                <c:pt idx="189">
                  <c:v>1090.5788822312516</c:v>
                </c:pt>
                <c:pt idx="190">
                  <c:v>1088.3458375205016</c:v>
                </c:pt>
                <c:pt idx="191">
                  <c:v>1086.1127928097517</c:v>
                </c:pt>
                <c:pt idx="192">
                  <c:v>1083.8797480990017</c:v>
                </c:pt>
                <c:pt idx="193">
                  <c:v>1081.6467033882518</c:v>
                </c:pt>
                <c:pt idx="194">
                  <c:v>1079.4136586775019</c:v>
                </c:pt>
                <c:pt idx="195">
                  <c:v>1077.1806139667519</c:v>
                </c:pt>
                <c:pt idx="196">
                  <c:v>1074.947569256002</c:v>
                </c:pt>
                <c:pt idx="197">
                  <c:v>1072.7145245452521</c:v>
                </c:pt>
                <c:pt idx="198">
                  <c:v>1070.4814798345021</c:v>
                </c:pt>
                <c:pt idx="199">
                  <c:v>1068.2484351237522</c:v>
                </c:pt>
                <c:pt idx="200">
                  <c:v>1066.0153904130023</c:v>
                </c:pt>
                <c:pt idx="201">
                  <c:v>1063.7823457022523</c:v>
                </c:pt>
                <c:pt idx="202">
                  <c:v>1061.5493009915024</c:v>
                </c:pt>
                <c:pt idx="203">
                  <c:v>1059.3162562807524</c:v>
                </c:pt>
                <c:pt idx="204">
                  <c:v>1057.0832115700025</c:v>
                </c:pt>
                <c:pt idx="205">
                  <c:v>1054.8501668592526</c:v>
                </c:pt>
                <c:pt idx="206">
                  <c:v>1052.6171221485026</c:v>
                </c:pt>
                <c:pt idx="207">
                  <c:v>1050.3840774377527</c:v>
                </c:pt>
                <c:pt idx="208">
                  <c:v>1048.1510327270028</c:v>
                </c:pt>
                <c:pt idx="209">
                  <c:v>1045.9179880162528</c:v>
                </c:pt>
                <c:pt idx="210">
                  <c:v>1043.6849433055029</c:v>
                </c:pt>
                <c:pt idx="211">
                  <c:v>1041.4518985947529</c:v>
                </c:pt>
                <c:pt idx="212">
                  <c:v>1039.218853884003</c:v>
                </c:pt>
                <c:pt idx="213">
                  <c:v>1036.9858091732531</c:v>
                </c:pt>
                <c:pt idx="214">
                  <c:v>1034.7527644625031</c:v>
                </c:pt>
                <c:pt idx="215">
                  <c:v>1032.5197197517532</c:v>
                </c:pt>
                <c:pt idx="216">
                  <c:v>1030.2866750410033</c:v>
                </c:pt>
                <c:pt idx="217">
                  <c:v>1028.0536303302533</c:v>
                </c:pt>
                <c:pt idx="218">
                  <c:v>1025.8205856195034</c:v>
                </c:pt>
                <c:pt idx="219">
                  <c:v>1023.5875409087535</c:v>
                </c:pt>
                <c:pt idx="220">
                  <c:v>1021.3544961980035</c:v>
                </c:pt>
                <c:pt idx="221">
                  <c:v>1019.1214514872536</c:v>
                </c:pt>
                <c:pt idx="222">
                  <c:v>1016.8884067765036</c:v>
                </c:pt>
                <c:pt idx="223">
                  <c:v>1014.6553620657537</c:v>
                </c:pt>
                <c:pt idx="224">
                  <c:v>1012.4223173550038</c:v>
                </c:pt>
                <c:pt idx="225">
                  <c:v>1010.1892726442538</c:v>
                </c:pt>
                <c:pt idx="226">
                  <c:v>1007.9562279335039</c:v>
                </c:pt>
                <c:pt idx="227">
                  <c:v>1005.723183222754</c:v>
                </c:pt>
                <c:pt idx="228">
                  <c:v>1003.490138512004</c:v>
                </c:pt>
                <c:pt idx="229">
                  <c:v>1001.2570938012541</c:v>
                </c:pt>
                <c:pt idx="230">
                  <c:v>999.02404909050415</c:v>
                </c:pt>
                <c:pt idx="231">
                  <c:v>996.79100437975421</c:v>
                </c:pt>
                <c:pt idx="232">
                  <c:v>994.55795966900428</c:v>
                </c:pt>
                <c:pt idx="233">
                  <c:v>992.32491495825434</c:v>
                </c:pt>
                <c:pt idx="234">
                  <c:v>990.0918702475044</c:v>
                </c:pt>
                <c:pt idx="235">
                  <c:v>987.85882553675447</c:v>
                </c:pt>
                <c:pt idx="236">
                  <c:v>985.62578082600453</c:v>
                </c:pt>
                <c:pt idx="237">
                  <c:v>983.39273611525459</c:v>
                </c:pt>
                <c:pt idx="238">
                  <c:v>981.15969140450466</c:v>
                </c:pt>
                <c:pt idx="239">
                  <c:v>978.92664669375472</c:v>
                </c:pt>
                <c:pt idx="240">
                  <c:v>973.18471071272222</c:v>
                </c:pt>
                <c:pt idx="241">
                  <c:v>967.44277473168972</c:v>
                </c:pt>
                <c:pt idx="242">
                  <c:v>961.70083875065723</c:v>
                </c:pt>
                <c:pt idx="243">
                  <c:v>955.95890276962473</c:v>
                </c:pt>
                <c:pt idx="244">
                  <c:v>950.21696678859223</c:v>
                </c:pt>
                <c:pt idx="245">
                  <c:v>944.47503080755973</c:v>
                </c:pt>
                <c:pt idx="246">
                  <c:v>938.73309482652724</c:v>
                </c:pt>
                <c:pt idx="247">
                  <c:v>932.99115884549474</c:v>
                </c:pt>
                <c:pt idx="248">
                  <c:v>927.24922286446224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228</c:v>
                </c:pt>
                <c:pt idx="2">
                  <c:v>274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913.48400000000004</c:v>
                </c:pt>
                <c:pt idx="2">
                  <c:v>1008.819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Hydraulics!$B$11:$B$16</c:f>
              <c:numCache>
                <c:formatCode>General</c:formatCode>
                <c:ptCount val="6"/>
                <c:pt idx="0">
                  <c:v>2</c:v>
                </c:pt>
                <c:pt idx="1">
                  <c:v>22</c:v>
                </c:pt>
                <c:pt idx="2">
                  <c:v>228</c:v>
                </c:pt>
                <c:pt idx="3">
                  <c:v>274</c:v>
                </c:pt>
                <c:pt idx="4">
                  <c:v>330</c:v>
                </c:pt>
                <c:pt idx="5">
                  <c:v>500</c:v>
                </c:pt>
              </c:numCache>
            </c:numRef>
          </c:xVal>
          <c:yVal>
            <c:numRef>
              <c:f>Hydraulics!$C$11:$C$16</c:f>
              <c:numCache>
                <c:formatCode>General</c:formatCode>
                <c:ptCount val="6"/>
                <c:pt idx="0">
                  <c:v>1079.018</c:v>
                </c:pt>
                <c:pt idx="1">
                  <c:v>1111.67</c:v>
                </c:pt>
                <c:pt idx="2">
                  <c:v>923.48400000000004</c:v>
                </c:pt>
                <c:pt idx="3">
                  <c:v>1018.819</c:v>
                </c:pt>
                <c:pt idx="4">
                  <c:v>1146.405</c:v>
                </c:pt>
                <c:pt idx="5">
                  <c:v>929.62900000000002</c:v>
                </c:pt>
              </c:numCache>
            </c:numRef>
          </c:yVal>
        </c:ser>
        <c:axId val="91415680"/>
        <c:axId val="91417984"/>
      </c:scatterChart>
      <c:valAx>
        <c:axId val="91415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417984"/>
        <c:crosses val="autoZero"/>
        <c:crossBetween val="midCat"/>
      </c:valAx>
      <c:valAx>
        <c:axId val="91417984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41568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sqref="A1:D1"/>
    </sheetView>
  </sheetViews>
  <sheetFormatPr defaultRowHeight="15"/>
  <cols>
    <col min="1" max="1" width="13.42578125" style="59" bestFit="1" customWidth="1"/>
    <col min="2" max="3" width="9.140625" style="59"/>
    <col min="4" max="4" width="17.42578125" style="59" bestFit="1" customWidth="1"/>
    <col min="5" max="16384" width="9.140625" style="59"/>
  </cols>
  <sheetData>
    <row r="1" spans="1:4">
      <c r="A1" s="80" t="s">
        <v>100</v>
      </c>
      <c r="B1" s="80"/>
      <c r="C1" s="80"/>
      <c r="D1" s="80"/>
    </row>
    <row r="2" spans="1:4">
      <c r="A2" s="72" t="s">
        <v>69</v>
      </c>
      <c r="B2" s="72" t="s">
        <v>70</v>
      </c>
      <c r="C2" s="79" t="s">
        <v>71</v>
      </c>
      <c r="D2" s="79"/>
    </row>
    <row r="3" spans="1:4">
      <c r="A3" s="60" t="s">
        <v>72</v>
      </c>
      <c r="B3" s="60" t="s">
        <v>73</v>
      </c>
      <c r="C3" s="60">
        <v>1.9</v>
      </c>
      <c r="D3" s="60" t="s">
        <v>74</v>
      </c>
    </row>
    <row r="4" spans="1:4">
      <c r="A4" s="60" t="s">
        <v>68</v>
      </c>
      <c r="B4" s="60">
        <v>8</v>
      </c>
      <c r="C4" s="60">
        <v>50</v>
      </c>
      <c r="D4" s="60" t="s">
        <v>80</v>
      </c>
    </row>
    <row r="5" spans="1:4">
      <c r="A5" s="60" t="s">
        <v>72</v>
      </c>
      <c r="B5" s="73" t="s">
        <v>82</v>
      </c>
      <c r="C5" s="60">
        <v>1.9</v>
      </c>
      <c r="D5" s="60" t="s">
        <v>74</v>
      </c>
    </row>
    <row r="6" spans="1:4">
      <c r="A6" s="60" t="s">
        <v>77</v>
      </c>
      <c r="B6" s="60">
        <v>22</v>
      </c>
      <c r="C6" s="60">
        <v>10</v>
      </c>
      <c r="D6" s="60" t="s">
        <v>83</v>
      </c>
    </row>
    <row r="7" spans="1:4">
      <c r="A7" s="60" t="s">
        <v>72</v>
      </c>
      <c r="B7" s="60" t="s">
        <v>91</v>
      </c>
      <c r="C7" s="60">
        <v>1.9</v>
      </c>
      <c r="D7" s="60" t="s">
        <v>74</v>
      </c>
    </row>
    <row r="8" spans="1:4">
      <c r="A8" s="60" t="s">
        <v>72</v>
      </c>
      <c r="B8" s="60" t="s">
        <v>87</v>
      </c>
      <c r="C8" s="60">
        <v>1.8</v>
      </c>
      <c r="D8" s="60" t="s">
        <v>74</v>
      </c>
    </row>
    <row r="9" spans="1:4">
      <c r="A9" s="60" t="s">
        <v>72</v>
      </c>
      <c r="B9" s="60" t="s">
        <v>88</v>
      </c>
      <c r="C9" s="60">
        <v>2</v>
      </c>
      <c r="D9" s="60" t="s">
        <v>74</v>
      </c>
    </row>
    <row r="10" spans="1:4">
      <c r="A10" s="60" t="s">
        <v>77</v>
      </c>
      <c r="B10" s="60">
        <v>228</v>
      </c>
      <c r="C10" s="60">
        <v>10</v>
      </c>
      <c r="D10" s="60" t="s">
        <v>78</v>
      </c>
    </row>
    <row r="11" spans="1:4">
      <c r="A11" s="60" t="s">
        <v>68</v>
      </c>
      <c r="B11" s="60">
        <v>228</v>
      </c>
      <c r="C11" s="60">
        <v>120</v>
      </c>
      <c r="D11" s="60" t="s">
        <v>80</v>
      </c>
    </row>
    <row r="12" spans="1:4">
      <c r="A12" s="60" t="s">
        <v>72</v>
      </c>
      <c r="B12" s="60" t="s">
        <v>89</v>
      </c>
      <c r="C12" s="60">
        <v>2</v>
      </c>
      <c r="D12" s="60" t="s">
        <v>79</v>
      </c>
    </row>
    <row r="13" spans="1:4">
      <c r="A13" s="60" t="s">
        <v>77</v>
      </c>
      <c r="B13" s="60">
        <v>274</v>
      </c>
      <c r="C13" s="60">
        <v>10</v>
      </c>
      <c r="D13" s="60" t="s">
        <v>78</v>
      </c>
    </row>
    <row r="14" spans="1:4">
      <c r="A14" s="60" t="s">
        <v>68</v>
      </c>
      <c r="B14" s="60">
        <v>274</v>
      </c>
      <c r="C14" s="60">
        <v>165</v>
      </c>
      <c r="D14" s="60" t="s">
        <v>80</v>
      </c>
    </row>
    <row r="15" spans="1:4">
      <c r="A15" s="60" t="s">
        <v>72</v>
      </c>
      <c r="B15" s="60" t="s">
        <v>90</v>
      </c>
      <c r="C15" s="60">
        <v>2</v>
      </c>
      <c r="D15" s="60" t="s">
        <v>79</v>
      </c>
    </row>
    <row r="16" spans="1:4">
      <c r="A16" s="60" t="s">
        <v>94</v>
      </c>
      <c r="B16" s="60">
        <v>330</v>
      </c>
      <c r="C16" s="60">
        <v>10</v>
      </c>
      <c r="D16" s="60" t="s">
        <v>78</v>
      </c>
    </row>
    <row r="17" spans="1:9">
      <c r="A17" s="60" t="s">
        <v>72</v>
      </c>
      <c r="B17" s="60" t="s">
        <v>95</v>
      </c>
      <c r="C17" s="60">
        <v>1.8</v>
      </c>
      <c r="D17" s="60" t="s">
        <v>79</v>
      </c>
    </row>
    <row r="18" spans="1:9">
      <c r="A18" s="60" t="s">
        <v>72</v>
      </c>
      <c r="B18" s="60" t="s">
        <v>96</v>
      </c>
      <c r="C18" s="60">
        <v>1.5</v>
      </c>
      <c r="D18" s="60" t="s">
        <v>79</v>
      </c>
    </row>
    <row r="29" spans="1:9">
      <c r="I29" s="59" t="s">
        <v>97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31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32" sqref="F32"/>
    </sheetView>
  </sheetViews>
  <sheetFormatPr defaultRowHeight="15"/>
  <cols>
    <col min="1" max="1" width="19.5703125" style="59" bestFit="1" customWidth="1"/>
    <col min="2" max="16384" width="9.140625" style="59"/>
  </cols>
  <sheetData>
    <row r="1" spans="1:3">
      <c r="A1" s="81" t="s">
        <v>26</v>
      </c>
      <c r="B1" s="81"/>
    </row>
    <row r="2" spans="1:3" ht="18">
      <c r="A2" s="60" t="s">
        <v>22</v>
      </c>
      <c r="B2" s="61">
        <v>0.03</v>
      </c>
    </row>
    <row r="3" spans="1:3" ht="18">
      <c r="A3" s="60" t="s">
        <v>23</v>
      </c>
      <c r="B3" s="61">
        <v>0.06</v>
      </c>
    </row>
    <row r="4" spans="1:3" ht="18">
      <c r="A4" s="60" t="s">
        <v>24</v>
      </c>
      <c r="B4" s="61">
        <v>0.15</v>
      </c>
    </row>
    <row r="5" spans="1:3" ht="18">
      <c r="A5" s="60" t="s">
        <v>25</v>
      </c>
      <c r="B5" s="61">
        <v>0.5</v>
      </c>
    </row>
    <row r="7" spans="1:3" ht="17.25">
      <c r="A7" s="14" t="s">
        <v>28</v>
      </c>
      <c r="B7" s="62">
        <v>1.13E-6</v>
      </c>
      <c r="C7" s="60" t="s">
        <v>29</v>
      </c>
    </row>
    <row r="9" spans="1:3">
      <c r="A9" s="14" t="s">
        <v>30</v>
      </c>
      <c r="B9" s="61">
        <v>150</v>
      </c>
    </row>
    <row r="11" spans="1:3">
      <c r="A11" s="63" t="s">
        <v>59</v>
      </c>
      <c r="B11" s="61" t="s">
        <v>60</v>
      </c>
      <c r="C11" s="60"/>
    </row>
    <row r="12" spans="1:3">
      <c r="A12" s="63" t="s">
        <v>61</v>
      </c>
      <c r="B12" s="61">
        <v>300</v>
      </c>
      <c r="C12" s="60" t="s">
        <v>62</v>
      </c>
    </row>
    <row r="13" spans="1:3">
      <c r="A13" s="63" t="s">
        <v>63</v>
      </c>
      <c r="B13" s="64">
        <v>0.5</v>
      </c>
      <c r="C13" s="60"/>
    </row>
    <row r="14" spans="1:3">
      <c r="A14" s="63" t="s">
        <v>64</v>
      </c>
      <c r="B14" s="61">
        <v>160</v>
      </c>
      <c r="C14" s="60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5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5" t="s">
        <v>98</v>
      </c>
      <c r="B1" s="85"/>
      <c r="C1" s="85"/>
      <c r="D1" s="86"/>
      <c r="E1" s="82" t="str">
        <f>A1</f>
        <v>Option 6B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  <c r="R1" s="82" t="str">
        <f>E1</f>
        <v>Option 6B</v>
      </c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4"/>
    </row>
    <row r="2" spans="1:45">
      <c r="A2" s="87" t="s">
        <v>13</v>
      </c>
      <c r="B2" s="88"/>
      <c r="C2" s="88"/>
      <c r="D2" s="89"/>
      <c r="E2" s="90" t="s">
        <v>14</v>
      </c>
      <c r="F2" s="91"/>
      <c r="G2" s="91"/>
      <c r="H2" s="91"/>
      <c r="I2" s="91"/>
      <c r="J2" s="91"/>
      <c r="K2" s="91"/>
      <c r="L2" s="91"/>
      <c r="M2" s="91"/>
      <c r="N2" s="92"/>
      <c r="O2" s="90" t="s">
        <v>57</v>
      </c>
      <c r="P2" s="91"/>
      <c r="Q2" s="92"/>
      <c r="R2" s="53" t="s">
        <v>50</v>
      </c>
      <c r="S2" s="32"/>
      <c r="T2" s="32"/>
      <c r="U2" s="32"/>
      <c r="V2" s="32"/>
      <c r="W2" s="32"/>
      <c r="X2" s="33"/>
      <c r="Y2" s="93" t="s">
        <v>47</v>
      </c>
      <c r="Z2" s="94"/>
      <c r="AA2" s="94"/>
      <c r="AB2" s="94"/>
      <c r="AC2" s="94"/>
      <c r="AD2" s="94"/>
      <c r="AE2" s="95"/>
      <c r="AF2" s="53" t="s">
        <v>48</v>
      </c>
      <c r="AG2" s="32"/>
      <c r="AH2" s="32"/>
      <c r="AI2" s="32"/>
      <c r="AJ2" s="32"/>
      <c r="AK2" s="32"/>
      <c r="AL2" s="33"/>
      <c r="AM2" s="93" t="s">
        <v>49</v>
      </c>
      <c r="AN2" s="94"/>
      <c r="AO2" s="94"/>
      <c r="AP2" s="94"/>
      <c r="AQ2" s="94"/>
      <c r="AR2" s="94"/>
      <c r="AS2" s="95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IF(B4&gt;0,VLOOKUP(B4,$F$4:$G$253,2),"")</f>
        <v>1063.8320000000001</v>
      </c>
      <c r="D4" s="42">
        <v>50</v>
      </c>
      <c r="E4" s="35" t="str">
        <f>IF(OR(F4=$B$11,F4=$B$12,F4=$B$13,F4=$B$14,F4=$B$15,F4=$B$16),"Reservoir",IF(OR(F4=$B$4,F4=$B$5,F4=$B$6),"Pump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>IF(X4&gt;VLOOKUP(F4,$B$11:$D$16,2),"Greater Dynamic Pressures",VLOOKUP(F4,$B$11:$C$16,2)-G4)</f>
        <v>10</v>
      </c>
      <c r="N4" s="23">
        <f>W4</f>
        <v>10</v>
      </c>
      <c r="O4" s="56">
        <f t="shared" ref="O4:O67" si="0">MAX(M4,AD4)</f>
        <v>10</v>
      </c>
      <c r="P4" s="65">
        <f>MAX(I4*1000/'Calculation Constants'!$B$14,O4*10*I4*1000/2/('Calculation Constants'!$B$12*1000*'Calculation Constants'!$B$13))</f>
        <v>11.875</v>
      </c>
      <c r="Q4" s="68">
        <f t="shared" ref="Q4:Q67" si="1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2">IF($F4=$B$4,$D$4,(IF($F4=$B$5,$D$5,IF($F4=$B$6,$D$6,0))))</f>
        <v>0</v>
      </c>
      <c r="W4" s="19">
        <f t="shared" ref="W4:W67" si="3">IF(E4="Reservoir",VLOOKUP(F4,$B$11:$D$15,2)-G4,X4-$G4)</f>
        <v>10</v>
      </c>
      <c r="X4" s="23">
        <f>IF($E4="Reservoir",VLOOKUP($F4,$B$11:$D$16,2)+V4,X3-U4+V4)</f>
        <v>1079.018</v>
      </c>
      <c r="Y4" s="22">
        <f>(1/(2*LOG(3.7*$I4/'Calculation Constants'!$B$3*1000)))^2</f>
        <v>9.7303620360708887E-3</v>
      </c>
      <c r="Z4" s="19" t="str">
        <f t="shared" ref="Z4:Z67" si="4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5">IF($F4=$B$4,$D$4,(IF($F4=$B$5,$D$5,IF($F4=$B$6,$D$6,0))))</f>
        <v>0</v>
      </c>
      <c r="AD4" s="19">
        <f>AE4-$G4</f>
        <v>10</v>
      </c>
      <c r="AE4" s="23">
        <f>IF($E4="Reservoir",VLOOKUP($F4,$B$11:$D$16,2)+AC4,AE3-AB4+AC4)</f>
        <v>1079.018</v>
      </c>
      <c r="AF4" s="27">
        <f>(1/(2*LOG(3.7*$I4/'Calculation Constants'!$B$4*1000)))^2</f>
        <v>1.1458969193927592E-2</v>
      </c>
      <c r="AG4" s="19" t="str">
        <f t="shared" ref="AG4:AG67" si="6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7">IF($F4=$B$4,$D$4,(IF($F4=$B$5,$D$5,IF($F4=$B$6,$D$6,0))))</f>
        <v>0</v>
      </c>
      <c r="AK4" s="19">
        <f>AL4-$G4</f>
        <v>10</v>
      </c>
      <c r="AL4" s="23">
        <f>IF($E4="Reservoir",VLOOKUP($F4,$B$11:$D$16,2)+AJ4,AL3-AI4+AJ4)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8">IF($F4=$B$4,$D$4,(IF($F4=$B$5,$D$5,IF($F4=$B$6,$D$6,0))))</f>
        <v>0</v>
      </c>
      <c r="AR4" s="19">
        <f>AS4-$G4</f>
        <v>10</v>
      </c>
      <c r="AS4" s="23">
        <f>IF($E4="Reservoir",VLOOKUP($F4,$B$11:$D$16,2)+AQ4,AS3-AP4+AQ4)</f>
        <v>1079.018</v>
      </c>
    </row>
    <row r="5" spans="1:45">
      <c r="A5" s="41" t="s">
        <v>85</v>
      </c>
      <c r="B5" s="18">
        <v>228</v>
      </c>
      <c r="C5" s="12">
        <f>IF(B5&gt;0,VLOOKUP(B5,$F$4:$G$253,2),"")</f>
        <v>913.48400000000004</v>
      </c>
      <c r="D5" s="42">
        <v>120</v>
      </c>
      <c r="E5" s="35" t="str">
        <f t="shared" ref="E5:E68" si="9">IF(OR(F5=$B$11,F5=$B$12,F5=$B$13,F5=$B$14,F5=$B$15,F5=$B$16),"Reservoir",IF(OR(F5=$B$4,F5=$B$5,F5=$B$6),"Pump Station",""))</f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0">J5/I5^2/PI()*4</f>
        <v>1.440102709245225</v>
      </c>
      <c r="L5" s="37">
        <f>$I5*$K5/'Calculation Constants'!$B$7</f>
        <v>2421411.6350140949</v>
      </c>
      <c r="M5" s="37">
        <f t="shared" ref="M5:M68" si="11">IF(X5&gt;VLOOKUP(F5,$B$11:$D$16,2),"Greater Dynamic Pressures",VLOOKUP(F5,$B$11:$C$16,2)-G5)</f>
        <v>11.697000000000116</v>
      </c>
      <c r="N5" s="23">
        <f t="shared" ref="N5:N68" si="12">W5</f>
        <v>10.668899601595285</v>
      </c>
      <c r="O5" s="57">
        <f t="shared" si="0"/>
        <v>11.697000000000116</v>
      </c>
      <c r="P5" s="66">
        <f>MAX(I5*1000/'Calculation Constants'!$B$14,O5*10*I5*1000/2/('Calculation Constants'!$B$12*1000*'Calculation Constants'!$B$13))</f>
        <v>11.875</v>
      </c>
      <c r="Q5" s="68">
        <f t="shared" si="1"/>
        <v>1105894.9783427313</v>
      </c>
      <c r="R5" s="27">
        <f>(1/(2*LOG(3.7*$I5/'Calculation Constants'!$B$2*1000)))^2</f>
        <v>8.6699836115820689E-3</v>
      </c>
      <c r="S5" s="19">
        <f t="shared" ref="S5:S68" si="13">IF($H5&gt;0,R5*$H5*$K5^2/2/9.81/$I5*1000,"")</f>
        <v>0.96467850809376621</v>
      </c>
      <c r="T5" s="19">
        <f>IF($H5&gt;0,'Calculation Constants'!$B$9*Hydraulics!$K5^2/2/9.81/MAX($F$4:$F$253)*$H5,"")</f>
        <v>6.3421890311175441E-2</v>
      </c>
      <c r="U5" s="19">
        <f t="shared" ref="U5:U68" si="14">IF(S5="",0,S5+T5)</f>
        <v>1.0281003984049417</v>
      </c>
      <c r="V5" s="19">
        <f t="shared" si="2"/>
        <v>0</v>
      </c>
      <c r="W5" s="19">
        <f t="shared" si="3"/>
        <v>10.668899601595285</v>
      </c>
      <c r="X5" s="23">
        <f t="shared" ref="X5:X68" si="15">IF($E5="Reservoir",VLOOKUP($F5,$B$11:$D$16,2)+V5,X4-U5+V5)</f>
        <v>1077.9898996015952</v>
      </c>
      <c r="Y5" s="22">
        <f>(1/(2*LOG(3.7*$I5/'Calculation Constants'!$B$3*1000)))^2</f>
        <v>9.7303620360708887E-3</v>
      </c>
      <c r="Z5" s="19">
        <f t="shared" si="4"/>
        <v>1.0826630767363397</v>
      </c>
      <c r="AA5" s="19">
        <f>IF($H5&gt;0,'Calculation Constants'!$B$9*Hydraulics!$K5^2/2/9.81/MAX($F$4:$F$253)*$H5,"")</f>
        <v>6.3421890311175441E-2</v>
      </c>
      <c r="AB5" s="19">
        <f t="shared" ref="AB5:AB7" si="16">IF(Z5="",0,Z5+AA5)</f>
        <v>1.1460849670475151</v>
      </c>
      <c r="AC5" s="19">
        <f t="shared" si="5"/>
        <v>0</v>
      </c>
      <c r="AD5" s="19">
        <f t="shared" ref="AD5:AD68" si="17">AE5-$G5</f>
        <v>10.550915032952616</v>
      </c>
      <c r="AE5" s="23">
        <f t="shared" ref="AE5:AE68" si="18">IF($E5="Reservoir",VLOOKUP($F5,$B$11:$D$16,2)+AC5,AE4-AB5+AC5)</f>
        <v>1077.8719150329525</v>
      </c>
      <c r="AF5" s="27">
        <f>(1/(2*LOG(3.7*$I5/'Calculation Constants'!$B$4*1000)))^2</f>
        <v>1.1458969193927592E-2</v>
      </c>
      <c r="AG5" s="19">
        <f t="shared" si="6"/>
        <v>1.274999100520025</v>
      </c>
      <c r="AH5" s="19">
        <f>IF($H5&gt;0,'Calculation Constants'!$B$9*Hydraulics!$K5^2/2/9.81/MAX($F$4:$F$253)*$H5,"")</f>
        <v>6.3421890311175441E-2</v>
      </c>
      <c r="AI5" s="19">
        <f t="shared" ref="AI5:AI68" si="19">IF(AG5="",0,AG5+AH5)</f>
        <v>1.3384209908312004</v>
      </c>
      <c r="AJ5" s="19">
        <f t="shared" si="7"/>
        <v>0</v>
      </c>
      <c r="AK5" s="19">
        <f t="shared" ref="AK5:AK68" si="20">AL5-$G5</f>
        <v>10.358579009168807</v>
      </c>
      <c r="AL5" s="23">
        <f t="shared" ref="AL5:AL68" si="21">IF($E5="Reservoir",VLOOKUP($F5,$B$11:$D$16,2)+AJ5,AL4-AI5+AJ5)</f>
        <v>1077.6795790091687</v>
      </c>
      <c r="AM5" s="22">
        <f>(1/(2*LOG(3.7*($I5-0.008)/'Calculation Constants'!$B$5*1000)))^2</f>
        <v>1.4542845531075887E-2</v>
      </c>
      <c r="AN5" s="19">
        <f t="shared" ref="AN5:AN68" si="22">IF($H5&gt;0,AM5*$H5*$K5^2/2/9.81/($I5-0.008)*1000,"")</f>
        <v>1.6249731396833385</v>
      </c>
      <c r="AO5" s="19">
        <f>IF($H5&gt;0,'Calculation Constants'!$B$9*Hydraulics!$K5^2/2/9.81/MAX($F$4:$F$253)*$H5,"")</f>
        <v>6.3421890311175441E-2</v>
      </c>
      <c r="AP5" s="19">
        <f t="shared" ref="AP5:AP68" si="23">IF(AN5="",0,AN5+AO5)</f>
        <v>1.6883950299945139</v>
      </c>
      <c r="AQ5" s="19">
        <f t="shared" si="8"/>
        <v>0</v>
      </c>
      <c r="AR5" s="19">
        <f t="shared" ref="AR5:AR68" si="24">AS5-$G5</f>
        <v>10.008604970005536</v>
      </c>
      <c r="AS5" s="23">
        <f t="shared" ref="AS5:AS68" si="25">IF($E5="Reservoir",VLOOKUP($F5,$B$11:$D$16,2)+AQ5,AS4-AP5+AQ5)</f>
        <v>1077.3296049700054</v>
      </c>
    </row>
    <row r="6" spans="1:45" ht="15.75" thickBot="1">
      <c r="A6" s="43" t="s">
        <v>86</v>
      </c>
      <c r="B6" s="44">
        <v>274</v>
      </c>
      <c r="C6" s="45">
        <f>IF(B6&gt;0,VLOOKUP(B6,$F$4:$G$253,2),"")</f>
        <v>1008.819</v>
      </c>
      <c r="D6" s="46">
        <v>165</v>
      </c>
      <c r="E6" s="35" t="str">
        <f t="shared" si="9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1.9</v>
      </c>
      <c r="J6" s="36">
        <f>'Flow Rate Calculations'!$B$7</f>
        <v>4.0831050228310497</v>
      </c>
      <c r="K6" s="36">
        <f t="shared" si="10"/>
        <v>1.440102709245225</v>
      </c>
      <c r="L6" s="37">
        <f>$I6*$K6/'Calculation Constants'!$B$7</f>
        <v>2421411.6350140949</v>
      </c>
      <c r="M6" s="37">
        <f t="shared" si="11"/>
        <v>14.982999999999947</v>
      </c>
      <c r="N6" s="23">
        <f t="shared" si="12"/>
        <v>12.926799203190285</v>
      </c>
      <c r="O6" s="57">
        <f t="shared" si="0"/>
        <v>14.982999999999947</v>
      </c>
      <c r="P6" s="66">
        <f>MAX(I6*1000/'Calculation Constants'!$B$14,O6*10*I6*1000/2/('Calculation Constants'!$B$12*1000*'Calculation Constants'!$B$13))</f>
        <v>11.875</v>
      </c>
      <c r="Q6" s="68">
        <f t="shared" si="1"/>
        <v>1105894.9783427313</v>
      </c>
      <c r="R6" s="27">
        <f>(1/(2*LOG(3.7*$I6/'Calculation Constants'!$B$2*1000)))^2</f>
        <v>8.6699836115820689E-3</v>
      </c>
      <c r="S6" s="19">
        <f t="shared" si="13"/>
        <v>0.96467850809376621</v>
      </c>
      <c r="T6" s="19">
        <f>IF($H6&gt;0,'Calculation Constants'!$B$9*Hydraulics!$K6^2/2/9.81/MAX($F$4:$F$253)*$H6,"")</f>
        <v>6.3421890311175441E-2</v>
      </c>
      <c r="U6" s="19">
        <f t="shared" si="14"/>
        <v>1.0281003984049417</v>
      </c>
      <c r="V6" s="19">
        <f t="shared" si="2"/>
        <v>0</v>
      </c>
      <c r="W6" s="19">
        <f t="shared" si="3"/>
        <v>12.926799203190285</v>
      </c>
      <c r="X6" s="23">
        <f t="shared" si="15"/>
        <v>1076.9617992031904</v>
      </c>
      <c r="Y6" s="22">
        <f>(1/(2*LOG(3.7*$I6/'Calculation Constants'!$B$3*1000)))^2</f>
        <v>9.7303620360708887E-3</v>
      </c>
      <c r="Z6" s="19">
        <f t="shared" si="4"/>
        <v>1.0826630767363397</v>
      </c>
      <c r="AA6" s="19">
        <f>IF($H6&gt;0,'Calculation Constants'!$B$9*Hydraulics!$K6^2/2/9.81/MAX($F$4:$F$253)*$H6,"")</f>
        <v>6.3421890311175441E-2</v>
      </c>
      <c r="AB6" s="19">
        <f t="shared" si="16"/>
        <v>1.1460849670475151</v>
      </c>
      <c r="AC6" s="19">
        <f t="shared" si="5"/>
        <v>0</v>
      </c>
      <c r="AD6" s="19">
        <f t="shared" si="17"/>
        <v>12.690830065904947</v>
      </c>
      <c r="AE6" s="23">
        <f t="shared" si="18"/>
        <v>1076.725830065905</v>
      </c>
      <c r="AF6" s="27">
        <f>(1/(2*LOG(3.7*$I6/'Calculation Constants'!$B$4*1000)))^2</f>
        <v>1.1458969193927592E-2</v>
      </c>
      <c r="AG6" s="19">
        <f t="shared" si="6"/>
        <v>1.274999100520025</v>
      </c>
      <c r="AH6" s="19">
        <f>IF($H6&gt;0,'Calculation Constants'!$B$9*Hydraulics!$K6^2/2/9.81/MAX($F$4:$F$253)*$H6,"")</f>
        <v>6.3421890311175441E-2</v>
      </c>
      <c r="AI6" s="19">
        <f t="shared" si="19"/>
        <v>1.3384209908312004</v>
      </c>
      <c r="AJ6" s="19">
        <f t="shared" si="7"/>
        <v>0</v>
      </c>
      <c r="AK6" s="19">
        <f t="shared" si="20"/>
        <v>12.306158018337328</v>
      </c>
      <c r="AL6" s="23">
        <f t="shared" si="21"/>
        <v>1076.3411580183374</v>
      </c>
      <c r="AM6" s="22">
        <f>(1/(2*LOG(3.7*($I6-0.008)/'Calculation Constants'!$B$5*1000)))^2</f>
        <v>1.4542845531075887E-2</v>
      </c>
      <c r="AN6" s="19">
        <f t="shared" si="22"/>
        <v>1.6249731396833385</v>
      </c>
      <c r="AO6" s="19">
        <f>IF($H6&gt;0,'Calculation Constants'!$B$9*Hydraulics!$K6^2/2/9.81/MAX($F$4:$F$253)*$H6,"")</f>
        <v>6.3421890311175441E-2</v>
      </c>
      <c r="AP6" s="19">
        <f t="shared" si="23"/>
        <v>1.6883950299945139</v>
      </c>
      <c r="AQ6" s="19">
        <f t="shared" si="8"/>
        <v>0</v>
      </c>
      <c r="AR6" s="19">
        <f t="shared" si="24"/>
        <v>11.606209940010785</v>
      </c>
      <c r="AS6" s="23">
        <f t="shared" si="25"/>
        <v>1075.6412099400109</v>
      </c>
    </row>
    <row r="7" spans="1:45">
      <c r="E7" s="35" t="str">
        <f t="shared" si="9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1.9</v>
      </c>
      <c r="J7" s="36">
        <f>'Flow Rate Calculations'!$B$7</f>
        <v>4.0831050228310497</v>
      </c>
      <c r="K7" s="36">
        <f t="shared" si="10"/>
        <v>1.440102709245225</v>
      </c>
      <c r="L7" s="37">
        <f>$I7*$K7/'Calculation Constants'!$B$7</f>
        <v>2421411.6350140949</v>
      </c>
      <c r="M7" s="37" t="str">
        <f t="shared" si="11"/>
        <v>Greater Dynamic Pressures</v>
      </c>
      <c r="N7" s="23">
        <f t="shared" si="12"/>
        <v>62.101698804785428</v>
      </c>
      <c r="O7" s="57">
        <f t="shared" si="0"/>
        <v>61.747745098857422</v>
      </c>
      <c r="P7" s="66">
        <f>MAX(I7*1000/'Calculation Constants'!$B$14,O7*10*I7*1000/2/('Calculation Constants'!$B$12*1000*'Calculation Constants'!$B$13))</f>
        <v>11.875</v>
      </c>
      <c r="Q7" s="68">
        <f t="shared" si="1"/>
        <v>1105894.9783427313</v>
      </c>
      <c r="R7" s="27">
        <f>(1/(2*LOG(3.7*$I7/'Calculation Constants'!$B$2*1000)))^2</f>
        <v>8.6699836115820689E-3</v>
      </c>
      <c r="S7" s="19">
        <f t="shared" si="13"/>
        <v>0.96467850809376621</v>
      </c>
      <c r="T7" s="19">
        <f>IF($H7&gt;0,'Calculation Constants'!$B$9*Hydraulics!$K7^2/2/9.81/MAX($F$4:$F$253)*$H7,"")</f>
        <v>6.3421890311175441E-2</v>
      </c>
      <c r="U7" s="19">
        <f t="shared" si="14"/>
        <v>1.0281003984049417</v>
      </c>
      <c r="V7" s="19">
        <f t="shared" si="2"/>
        <v>50</v>
      </c>
      <c r="W7" s="19">
        <f t="shared" si="3"/>
        <v>62.101698804785428</v>
      </c>
      <c r="X7" s="23">
        <f t="shared" si="15"/>
        <v>1125.9336988047855</v>
      </c>
      <c r="Y7" s="22">
        <f>(1/(2*LOG(3.7*$I7/'Calculation Constants'!$B$3*1000)))^2</f>
        <v>9.7303620360708887E-3</v>
      </c>
      <c r="Z7" s="19">
        <f t="shared" si="4"/>
        <v>1.0826630767363397</v>
      </c>
      <c r="AA7" s="19">
        <f>IF($H7&gt;0,'Calculation Constants'!$B$9*Hydraulics!$K7^2/2/9.81/MAX($F$4:$F$253)*$H7,"")</f>
        <v>6.3421890311175441E-2</v>
      </c>
      <c r="AB7" s="19">
        <f t="shared" si="16"/>
        <v>1.1460849670475151</v>
      </c>
      <c r="AC7" s="19">
        <f t="shared" si="5"/>
        <v>50</v>
      </c>
      <c r="AD7" s="19">
        <f t="shared" si="17"/>
        <v>61.747745098857422</v>
      </c>
      <c r="AE7" s="23">
        <f t="shared" si="18"/>
        <v>1125.5797450988575</v>
      </c>
      <c r="AF7" s="27">
        <f>(1/(2*LOG(3.7*$I7/'Calculation Constants'!$B$4*1000)))^2</f>
        <v>1.1458969193927592E-2</v>
      </c>
      <c r="AG7" s="19">
        <f t="shared" si="6"/>
        <v>1.274999100520025</v>
      </c>
      <c r="AH7" s="19">
        <f>IF($H7&gt;0,'Calculation Constants'!$B$9*Hydraulics!$K7^2/2/9.81/MAX($F$4:$F$253)*$H7,"")</f>
        <v>6.3421890311175441E-2</v>
      </c>
      <c r="AI7" s="19">
        <f t="shared" si="19"/>
        <v>1.3384209908312004</v>
      </c>
      <c r="AJ7" s="19">
        <f t="shared" si="7"/>
        <v>50</v>
      </c>
      <c r="AK7" s="19">
        <f t="shared" si="20"/>
        <v>61.170737027505993</v>
      </c>
      <c r="AL7" s="23">
        <f t="shared" si="21"/>
        <v>1125.0027370275061</v>
      </c>
      <c r="AM7" s="22">
        <f>(1/(2*LOG(3.7*($I7-0.008)/'Calculation Constants'!$B$5*1000)))^2</f>
        <v>1.4542845531075887E-2</v>
      </c>
      <c r="AN7" s="19">
        <f t="shared" si="22"/>
        <v>1.6249731396833385</v>
      </c>
      <c r="AO7" s="19">
        <f>IF($H7&gt;0,'Calculation Constants'!$B$9*Hydraulics!$K7^2/2/9.81/MAX($F$4:$F$253)*$H7,"")</f>
        <v>6.3421890311175441E-2</v>
      </c>
      <c r="AP7" s="19">
        <f t="shared" si="23"/>
        <v>1.6883950299945139</v>
      </c>
      <c r="AQ7" s="19">
        <f t="shared" si="8"/>
        <v>50</v>
      </c>
      <c r="AR7" s="19">
        <f t="shared" si="24"/>
        <v>60.120814910016179</v>
      </c>
      <c r="AS7" s="23">
        <f t="shared" si="25"/>
        <v>1123.9528149100163</v>
      </c>
    </row>
    <row r="8" spans="1:45" ht="15.75" thickBot="1">
      <c r="E8" s="35" t="str">
        <f t="shared" si="9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1.9</v>
      </c>
      <c r="J8" s="36">
        <f>'Flow Rate Calculations'!$B$7</f>
        <v>4.0831050228310497</v>
      </c>
      <c r="K8" s="36">
        <f t="shared" si="10"/>
        <v>1.440102709245225</v>
      </c>
      <c r="L8" s="37">
        <f>$I8*$K8/'Calculation Constants'!$B$7</f>
        <v>2421411.6350140949</v>
      </c>
      <c r="M8" s="37" t="str">
        <f t="shared" si="11"/>
        <v>Greater Dynamic Pressures</v>
      </c>
      <c r="N8" s="23">
        <f t="shared" si="12"/>
        <v>57.012598406380675</v>
      </c>
      <c r="O8" s="57">
        <f t="shared" si="0"/>
        <v>56.54066013181</v>
      </c>
      <c r="P8" s="66">
        <f>MAX(I8*1000/'Calculation Constants'!$B$14,O8*10*I8*1000/2/('Calculation Constants'!$B$12*1000*'Calculation Constants'!$B$13))</f>
        <v>11.875</v>
      </c>
      <c r="Q8" s="68">
        <f t="shared" si="1"/>
        <v>1105894.9783427313</v>
      </c>
      <c r="R8" s="27">
        <f>(1/(2*LOG(3.7*$I8/'Calculation Constants'!$B$2*1000)))^2</f>
        <v>8.6699836115820689E-3</v>
      </c>
      <c r="S8" s="19">
        <f t="shared" si="13"/>
        <v>0.96467850809376621</v>
      </c>
      <c r="T8" s="19">
        <f>IF($H8&gt;0,'Calculation Constants'!$B$9*Hydraulics!$K8^2/2/9.81/MAX($F$4:$F$253)*$H8,"")</f>
        <v>6.3421890311175441E-2</v>
      </c>
      <c r="U8" s="19">
        <f t="shared" si="14"/>
        <v>1.0281003984049417</v>
      </c>
      <c r="V8" s="19">
        <f t="shared" si="2"/>
        <v>0</v>
      </c>
      <c r="W8" s="19">
        <f t="shared" si="3"/>
        <v>57.012598406380675</v>
      </c>
      <c r="X8" s="23">
        <f t="shared" si="15"/>
        <v>1124.9055984063807</v>
      </c>
      <c r="Y8" s="22">
        <f>(1/(2*LOG(3.7*$I8/'Calculation Constants'!$B$3*1000)))^2</f>
        <v>9.7303620360708887E-3</v>
      </c>
      <c r="Z8" s="19">
        <f t="shared" si="4"/>
        <v>1.0826630767363397</v>
      </c>
      <c r="AA8" s="19">
        <f>IF($H8&gt;0,'Calculation Constants'!$B$9*Hydraulics!$K8^2/2/9.81/MAX($F$4:$F$253)*$H8,"")</f>
        <v>6.3421890311175441E-2</v>
      </c>
      <c r="AB8" s="19">
        <f t="shared" ref="AB8:AB71" si="27">IF(Z8="",0,Z8+AA8)</f>
        <v>1.1460849670475151</v>
      </c>
      <c r="AC8" s="19">
        <f t="shared" si="5"/>
        <v>0</v>
      </c>
      <c r="AD8" s="19">
        <f t="shared" si="17"/>
        <v>56.54066013181</v>
      </c>
      <c r="AE8" s="23">
        <f t="shared" si="18"/>
        <v>1124.43366013181</v>
      </c>
      <c r="AF8" s="27">
        <f>(1/(2*LOG(3.7*$I8/'Calculation Constants'!$B$4*1000)))^2</f>
        <v>1.1458969193927592E-2</v>
      </c>
      <c r="AG8" s="19">
        <f t="shared" si="6"/>
        <v>1.274999100520025</v>
      </c>
      <c r="AH8" s="19">
        <f>IF($H8&gt;0,'Calculation Constants'!$B$9*Hydraulics!$K8^2/2/9.81/MAX($F$4:$F$253)*$H8,"")</f>
        <v>6.3421890311175441E-2</v>
      </c>
      <c r="AI8" s="19">
        <f t="shared" si="19"/>
        <v>1.3384209908312004</v>
      </c>
      <c r="AJ8" s="19">
        <f t="shared" si="7"/>
        <v>0</v>
      </c>
      <c r="AK8" s="19">
        <f t="shared" si="20"/>
        <v>55.771316036674762</v>
      </c>
      <c r="AL8" s="23">
        <f t="shared" si="21"/>
        <v>1123.6643160366748</v>
      </c>
      <c r="AM8" s="22">
        <f>(1/(2*LOG(3.7*($I8-0.008)/'Calculation Constants'!$B$5*1000)))^2</f>
        <v>1.4542845531075887E-2</v>
      </c>
      <c r="AN8" s="19">
        <f t="shared" si="22"/>
        <v>1.6249731396833385</v>
      </c>
      <c r="AO8" s="19">
        <f>IF($H8&gt;0,'Calculation Constants'!$B$9*Hydraulics!$K8^2/2/9.81/MAX($F$4:$F$253)*$H8,"")</f>
        <v>6.3421890311175441E-2</v>
      </c>
      <c r="AP8" s="19">
        <f t="shared" si="23"/>
        <v>1.6883950299945139</v>
      </c>
      <c r="AQ8" s="19">
        <f t="shared" si="8"/>
        <v>0</v>
      </c>
      <c r="AR8" s="19">
        <f t="shared" si="24"/>
        <v>54.371419880021676</v>
      </c>
      <c r="AS8" s="23">
        <f t="shared" si="25"/>
        <v>1122.2644198800217</v>
      </c>
    </row>
    <row r="9" spans="1:45">
      <c r="A9" s="90" t="s">
        <v>75</v>
      </c>
      <c r="B9" s="91"/>
      <c r="C9" s="91"/>
      <c r="D9" s="92"/>
      <c r="E9" s="35" t="str">
        <f t="shared" si="9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1.9</v>
      </c>
      <c r="J9" s="36">
        <f>'Flow Rate Calculations'!$B$7</f>
        <v>4.0831050228310497</v>
      </c>
      <c r="K9" s="36">
        <f t="shared" si="10"/>
        <v>1.440102709245225</v>
      </c>
      <c r="L9" s="37">
        <f>$I9*$K9/'Calculation Constants'!$B$7</f>
        <v>2421411.6350140949</v>
      </c>
      <c r="M9" s="37" t="str">
        <f t="shared" si="11"/>
        <v>Greater Dynamic Pressures</v>
      </c>
      <c r="N9" s="23">
        <f t="shared" si="12"/>
        <v>48.744498007975835</v>
      </c>
      <c r="O9" s="57">
        <f t="shared" si="0"/>
        <v>48.154575164762491</v>
      </c>
      <c r="P9" s="66">
        <f>MAX(I9*1000/'Calculation Constants'!$B$14,O9*10*I9*1000/2/('Calculation Constants'!$B$12*1000*'Calculation Constants'!$B$13))</f>
        <v>11.875</v>
      </c>
      <c r="Q9" s="68">
        <f t="shared" si="1"/>
        <v>1105894.9783427313</v>
      </c>
      <c r="R9" s="27">
        <f>(1/(2*LOG(3.7*$I9/'Calculation Constants'!$B$2*1000)))^2</f>
        <v>8.6699836115820689E-3</v>
      </c>
      <c r="S9" s="19">
        <f t="shared" si="13"/>
        <v>0.96467850809376621</v>
      </c>
      <c r="T9" s="19">
        <f>IF($H9&gt;0,'Calculation Constants'!$B$9*Hydraulics!$K9^2/2/9.81/MAX($F$4:$F$253)*$H9,"")</f>
        <v>6.3421890311175441E-2</v>
      </c>
      <c r="U9" s="19">
        <f t="shared" si="14"/>
        <v>1.0281003984049417</v>
      </c>
      <c r="V9" s="19">
        <f t="shared" si="2"/>
        <v>0</v>
      </c>
      <c r="W9" s="19">
        <f t="shared" si="3"/>
        <v>48.744498007975835</v>
      </c>
      <c r="X9" s="23">
        <f t="shared" si="15"/>
        <v>1123.8774980079759</v>
      </c>
      <c r="Y9" s="22">
        <f>(1/(2*LOG(3.7*$I9/'Calculation Constants'!$B$3*1000)))^2</f>
        <v>9.7303620360708887E-3</v>
      </c>
      <c r="Z9" s="19">
        <f t="shared" si="4"/>
        <v>1.0826630767363397</v>
      </c>
      <c r="AA9" s="19">
        <f>IF($H9&gt;0,'Calculation Constants'!$B$9*Hydraulics!$K9^2/2/9.81/MAX($F$4:$F$253)*$H9,"")</f>
        <v>6.3421890311175441E-2</v>
      </c>
      <c r="AB9" s="19">
        <f t="shared" si="27"/>
        <v>1.1460849670475151</v>
      </c>
      <c r="AC9" s="19">
        <f t="shared" si="5"/>
        <v>0</v>
      </c>
      <c r="AD9" s="19">
        <f t="shared" si="17"/>
        <v>48.154575164762491</v>
      </c>
      <c r="AE9" s="23">
        <f t="shared" si="18"/>
        <v>1123.2875751647625</v>
      </c>
      <c r="AF9" s="27">
        <f>(1/(2*LOG(3.7*$I9/'Calculation Constants'!$B$4*1000)))^2</f>
        <v>1.1458969193927592E-2</v>
      </c>
      <c r="AG9" s="19">
        <f t="shared" si="6"/>
        <v>1.274999100520025</v>
      </c>
      <c r="AH9" s="19">
        <f>IF($H9&gt;0,'Calculation Constants'!$B$9*Hydraulics!$K9^2/2/9.81/MAX($F$4:$F$253)*$H9,"")</f>
        <v>6.3421890311175441E-2</v>
      </c>
      <c r="AI9" s="19">
        <f t="shared" si="19"/>
        <v>1.3384209908312004</v>
      </c>
      <c r="AJ9" s="19">
        <f t="shared" si="7"/>
        <v>0</v>
      </c>
      <c r="AK9" s="19">
        <f t="shared" si="20"/>
        <v>47.192895045843443</v>
      </c>
      <c r="AL9" s="23">
        <f t="shared" si="21"/>
        <v>1122.3258950458435</v>
      </c>
      <c r="AM9" s="22">
        <f>(1/(2*LOG(3.7*($I9-0.008)/'Calculation Constants'!$B$5*1000)))^2</f>
        <v>1.4542845531075887E-2</v>
      </c>
      <c r="AN9" s="19">
        <f t="shared" si="22"/>
        <v>1.6249731396833385</v>
      </c>
      <c r="AO9" s="19">
        <f>IF($H9&gt;0,'Calculation Constants'!$B$9*Hydraulics!$K9^2/2/9.81/MAX($F$4:$F$253)*$H9,"")</f>
        <v>6.3421890311175441E-2</v>
      </c>
      <c r="AP9" s="19">
        <f t="shared" si="23"/>
        <v>1.6883950299945139</v>
      </c>
      <c r="AQ9" s="19">
        <f t="shared" si="8"/>
        <v>0</v>
      </c>
      <c r="AR9" s="19">
        <f t="shared" si="24"/>
        <v>45.443024850027086</v>
      </c>
      <c r="AS9" s="23">
        <f t="shared" si="25"/>
        <v>1120.5760248500271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9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1.9</v>
      </c>
      <c r="J10" s="36">
        <f>'Flow Rate Calculations'!$B$7</f>
        <v>4.0831050228310497</v>
      </c>
      <c r="K10" s="36">
        <f t="shared" si="10"/>
        <v>1.440102709245225</v>
      </c>
      <c r="L10" s="37">
        <f>$I10*$K10/'Calculation Constants'!$B$7</f>
        <v>2421411.6350140949</v>
      </c>
      <c r="M10" s="37" t="str">
        <f t="shared" si="11"/>
        <v>Greater Dynamic Pressures</v>
      </c>
      <c r="N10" s="23">
        <f t="shared" si="12"/>
        <v>40.081397609571013</v>
      </c>
      <c r="O10" s="57">
        <f t="shared" si="0"/>
        <v>39.373490197715</v>
      </c>
      <c r="P10" s="66">
        <f>MAX(I10*1000/'Calculation Constants'!$B$14,O10*10*I10*1000/2/('Calculation Constants'!$B$12*1000*'Calculation Constants'!$B$13))</f>
        <v>11.875</v>
      </c>
      <c r="Q10" s="68">
        <f t="shared" si="1"/>
        <v>1105894.9783427313</v>
      </c>
      <c r="R10" s="27">
        <f>(1/(2*LOG(3.7*$I10/'Calculation Constants'!$B$2*1000)))^2</f>
        <v>8.6699836115820689E-3</v>
      </c>
      <c r="S10" s="19">
        <f t="shared" si="13"/>
        <v>0.96467850809376621</v>
      </c>
      <c r="T10" s="19">
        <f>IF($H10&gt;0,'Calculation Constants'!$B$9*Hydraulics!$K10^2/2/9.81/MAX($F$4:$F$253)*$H10,"")</f>
        <v>6.3421890311175441E-2</v>
      </c>
      <c r="U10" s="19">
        <f t="shared" si="14"/>
        <v>1.0281003984049417</v>
      </c>
      <c r="V10" s="19">
        <f t="shared" si="2"/>
        <v>0</v>
      </c>
      <c r="W10" s="19">
        <f t="shared" si="3"/>
        <v>40.081397609571013</v>
      </c>
      <c r="X10" s="23">
        <f t="shared" si="15"/>
        <v>1122.849397609571</v>
      </c>
      <c r="Y10" s="22">
        <f>(1/(2*LOG(3.7*$I10/'Calculation Constants'!$B$3*1000)))^2</f>
        <v>9.7303620360708887E-3</v>
      </c>
      <c r="Z10" s="19">
        <f t="shared" si="4"/>
        <v>1.0826630767363397</v>
      </c>
      <c r="AA10" s="19">
        <f>IF($H10&gt;0,'Calculation Constants'!$B$9*Hydraulics!$K10^2/2/9.81/MAX($F$4:$F$253)*$H10,"")</f>
        <v>6.3421890311175441E-2</v>
      </c>
      <c r="AB10" s="19">
        <f t="shared" si="27"/>
        <v>1.1460849670475151</v>
      </c>
      <c r="AC10" s="19">
        <f t="shared" si="5"/>
        <v>0</v>
      </c>
      <c r="AD10" s="19">
        <f t="shared" si="17"/>
        <v>39.373490197715</v>
      </c>
      <c r="AE10" s="23">
        <f t="shared" si="18"/>
        <v>1122.141490197715</v>
      </c>
      <c r="AF10" s="27">
        <f>(1/(2*LOG(3.7*$I10/'Calculation Constants'!$B$4*1000)))^2</f>
        <v>1.1458969193927592E-2</v>
      </c>
      <c r="AG10" s="19">
        <f t="shared" si="6"/>
        <v>1.274999100520025</v>
      </c>
      <c r="AH10" s="19">
        <f>IF($H10&gt;0,'Calculation Constants'!$B$9*Hydraulics!$K10^2/2/9.81/MAX($F$4:$F$253)*$H10,"")</f>
        <v>6.3421890311175441E-2</v>
      </c>
      <c r="AI10" s="19">
        <f t="shared" si="19"/>
        <v>1.3384209908312004</v>
      </c>
      <c r="AJ10" s="19">
        <f t="shared" si="7"/>
        <v>0</v>
      </c>
      <c r="AK10" s="19">
        <f t="shared" si="20"/>
        <v>38.219474055012142</v>
      </c>
      <c r="AL10" s="23">
        <f t="shared" si="21"/>
        <v>1120.9874740550122</v>
      </c>
      <c r="AM10" s="22">
        <f>(1/(2*LOG(3.7*($I10-0.008)/'Calculation Constants'!$B$5*1000)))^2</f>
        <v>1.4542845531075887E-2</v>
      </c>
      <c r="AN10" s="19">
        <f t="shared" si="22"/>
        <v>1.6249731396833385</v>
      </c>
      <c r="AO10" s="19">
        <f>IF($H10&gt;0,'Calculation Constants'!$B$9*Hydraulics!$K10^2/2/9.81/MAX($F$4:$F$253)*$H10,"")</f>
        <v>6.3421890311175441E-2</v>
      </c>
      <c r="AP10" s="19">
        <f t="shared" si="23"/>
        <v>1.6883950299945139</v>
      </c>
      <c r="AQ10" s="19">
        <f t="shared" si="8"/>
        <v>0</v>
      </c>
      <c r="AR10" s="19">
        <f t="shared" si="24"/>
        <v>36.119629820032515</v>
      </c>
      <c r="AS10" s="23">
        <f t="shared" si="25"/>
        <v>1118.8876298200325</v>
      </c>
    </row>
    <row r="11" spans="1:45">
      <c r="A11" s="41" t="s">
        <v>16</v>
      </c>
      <c r="B11" s="18">
        <v>2</v>
      </c>
      <c r="C11" s="12">
        <f t="shared" ref="C11:C16" si="28">IF(B11&gt;0,VLOOKUP(B11,$F$4:$G$253,2)+D11,"")</f>
        <v>1079.018</v>
      </c>
      <c r="D11" s="42">
        <v>10</v>
      </c>
      <c r="E11" s="35" t="str">
        <f t="shared" si="9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1.9</v>
      </c>
      <c r="J11" s="36">
        <f>'Flow Rate Calculations'!$B$7</f>
        <v>4.0831050228310497</v>
      </c>
      <c r="K11" s="36">
        <f t="shared" si="10"/>
        <v>1.440102709245225</v>
      </c>
      <c r="L11" s="37">
        <f>$I11*$K11/'Calculation Constants'!$B$7</f>
        <v>2421411.6350140949</v>
      </c>
      <c r="M11" s="37" t="str">
        <f t="shared" si="11"/>
        <v>Greater Dynamic Pressures</v>
      </c>
      <c r="N11" s="23">
        <f t="shared" si="12"/>
        <v>32.095297211166098</v>
      </c>
      <c r="O11" s="57">
        <f t="shared" si="0"/>
        <v>31.269405230667417</v>
      </c>
      <c r="P11" s="66">
        <f>MAX(I11*1000/'Calculation Constants'!$B$14,O11*10*I11*1000/2/('Calculation Constants'!$B$12*1000*'Calculation Constants'!$B$13))</f>
        <v>11.875</v>
      </c>
      <c r="Q11" s="68">
        <f t="shared" si="1"/>
        <v>1105894.9783427313</v>
      </c>
      <c r="R11" s="27">
        <f>(1/(2*LOG(3.7*$I11/'Calculation Constants'!$B$2*1000)))^2</f>
        <v>8.6699836115820689E-3</v>
      </c>
      <c r="S11" s="19">
        <f t="shared" si="13"/>
        <v>0.96467850809376621</v>
      </c>
      <c r="T11" s="19">
        <f>IF($H11&gt;0,'Calculation Constants'!$B$9*Hydraulics!$K11^2/2/9.81/MAX($F$4:$F$253)*$H11,"")</f>
        <v>6.3421890311175441E-2</v>
      </c>
      <c r="U11" s="19">
        <f t="shared" si="14"/>
        <v>1.0281003984049417</v>
      </c>
      <c r="V11" s="19">
        <f t="shared" si="2"/>
        <v>0</v>
      </c>
      <c r="W11" s="19">
        <f t="shared" si="3"/>
        <v>32.095297211166098</v>
      </c>
      <c r="X11" s="23">
        <f t="shared" si="15"/>
        <v>1121.8212972111662</v>
      </c>
      <c r="Y11" s="22">
        <f>(1/(2*LOG(3.7*$I11/'Calculation Constants'!$B$3*1000)))^2</f>
        <v>9.7303620360708887E-3</v>
      </c>
      <c r="Z11" s="19">
        <f t="shared" si="4"/>
        <v>1.0826630767363397</v>
      </c>
      <c r="AA11" s="19">
        <f>IF($H11&gt;0,'Calculation Constants'!$B$9*Hydraulics!$K11^2/2/9.81/MAX($F$4:$F$253)*$H11,"")</f>
        <v>6.3421890311175441E-2</v>
      </c>
      <c r="AB11" s="19">
        <f t="shared" si="27"/>
        <v>1.1460849670475151</v>
      </c>
      <c r="AC11" s="19">
        <f t="shared" si="5"/>
        <v>0</v>
      </c>
      <c r="AD11" s="19">
        <f t="shared" si="17"/>
        <v>31.269405230667417</v>
      </c>
      <c r="AE11" s="23">
        <f t="shared" si="18"/>
        <v>1120.9954052306675</v>
      </c>
      <c r="AF11" s="27">
        <f>(1/(2*LOG(3.7*$I11/'Calculation Constants'!$B$4*1000)))^2</f>
        <v>1.1458969193927592E-2</v>
      </c>
      <c r="AG11" s="19">
        <f t="shared" si="6"/>
        <v>1.274999100520025</v>
      </c>
      <c r="AH11" s="19">
        <f>IF($H11&gt;0,'Calculation Constants'!$B$9*Hydraulics!$K11^2/2/9.81/MAX($F$4:$F$253)*$H11,"")</f>
        <v>6.3421890311175441E-2</v>
      </c>
      <c r="AI11" s="19">
        <f t="shared" si="19"/>
        <v>1.3384209908312004</v>
      </c>
      <c r="AJ11" s="19">
        <f t="shared" si="7"/>
        <v>0</v>
      </c>
      <c r="AK11" s="19">
        <f t="shared" si="20"/>
        <v>29.923053064180749</v>
      </c>
      <c r="AL11" s="23">
        <f t="shared" si="21"/>
        <v>1119.6490530641809</v>
      </c>
      <c r="AM11" s="22">
        <f>(1/(2*LOG(3.7*($I11-0.008)/'Calculation Constants'!$B$5*1000)))^2</f>
        <v>1.4542845531075887E-2</v>
      </c>
      <c r="AN11" s="19">
        <f t="shared" si="22"/>
        <v>1.6249731396833385</v>
      </c>
      <c r="AO11" s="19">
        <f>IF($H11&gt;0,'Calculation Constants'!$B$9*Hydraulics!$K11^2/2/9.81/MAX($F$4:$F$253)*$H11,"")</f>
        <v>6.3421890311175441E-2</v>
      </c>
      <c r="AP11" s="19">
        <f t="shared" si="23"/>
        <v>1.6883950299945139</v>
      </c>
      <c r="AQ11" s="19">
        <f t="shared" si="8"/>
        <v>0</v>
      </c>
      <c r="AR11" s="19">
        <f t="shared" si="24"/>
        <v>27.47323479003785</v>
      </c>
      <c r="AS11" s="23">
        <f t="shared" si="25"/>
        <v>1117.199234790038</v>
      </c>
    </row>
    <row r="12" spans="1:45">
      <c r="A12" s="41" t="s">
        <v>81</v>
      </c>
      <c r="B12" s="18">
        <v>22</v>
      </c>
      <c r="C12" s="12">
        <f t="shared" si="28"/>
        <v>1111.67</v>
      </c>
      <c r="D12" s="42">
        <v>10</v>
      </c>
      <c r="E12" s="35" t="str">
        <f t="shared" si="9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1.9</v>
      </c>
      <c r="J12" s="36">
        <f>'Flow Rate Calculations'!$B$7</f>
        <v>4.0831050228310497</v>
      </c>
      <c r="K12" s="36">
        <f t="shared" si="10"/>
        <v>1.440102709245225</v>
      </c>
      <c r="L12" s="37">
        <f>$I12*$K12/'Calculation Constants'!$B$7</f>
        <v>2421411.6350140949</v>
      </c>
      <c r="M12" s="37" t="str">
        <f t="shared" si="11"/>
        <v>Greater Dynamic Pressures</v>
      </c>
      <c r="N12" s="23">
        <f t="shared" si="12"/>
        <v>26.662196812761294</v>
      </c>
      <c r="O12" s="57">
        <f t="shared" si="0"/>
        <v>25.718320263619944</v>
      </c>
      <c r="P12" s="66">
        <f>MAX(I12*1000/'Calculation Constants'!$B$14,O12*10*I12*1000/2/('Calculation Constants'!$B$12*1000*'Calculation Constants'!$B$13))</f>
        <v>11.875</v>
      </c>
      <c r="Q12" s="68">
        <f t="shared" si="1"/>
        <v>1105894.9783427313</v>
      </c>
      <c r="R12" s="27">
        <f>(1/(2*LOG(3.7*$I12/'Calculation Constants'!$B$2*1000)))^2</f>
        <v>8.6699836115820689E-3</v>
      </c>
      <c r="S12" s="19">
        <f t="shared" si="13"/>
        <v>0.96467850809376621</v>
      </c>
      <c r="T12" s="19">
        <f>IF($H12&gt;0,'Calculation Constants'!$B$9*Hydraulics!$K12^2/2/9.81/MAX($F$4:$F$253)*$H12,"")</f>
        <v>6.3421890311175441E-2</v>
      </c>
      <c r="U12" s="19">
        <f t="shared" si="14"/>
        <v>1.0281003984049417</v>
      </c>
      <c r="V12" s="19">
        <f t="shared" si="2"/>
        <v>0</v>
      </c>
      <c r="W12" s="19">
        <f t="shared" si="3"/>
        <v>26.662196812761294</v>
      </c>
      <c r="X12" s="23">
        <f t="shared" si="15"/>
        <v>1120.7931968127614</v>
      </c>
      <c r="Y12" s="22">
        <f>(1/(2*LOG(3.7*$I12/'Calculation Constants'!$B$3*1000)))^2</f>
        <v>9.7303620360708887E-3</v>
      </c>
      <c r="Z12" s="19">
        <f t="shared" si="4"/>
        <v>1.0826630767363397</v>
      </c>
      <c r="AA12" s="19">
        <f>IF($H12&gt;0,'Calculation Constants'!$B$9*Hydraulics!$K12^2/2/9.81/MAX($F$4:$F$253)*$H12,"")</f>
        <v>6.3421890311175441E-2</v>
      </c>
      <c r="AB12" s="19">
        <f t="shared" si="27"/>
        <v>1.1460849670475151</v>
      </c>
      <c r="AC12" s="19">
        <f t="shared" si="5"/>
        <v>0</v>
      </c>
      <c r="AD12" s="19">
        <f t="shared" si="17"/>
        <v>25.718320263619944</v>
      </c>
      <c r="AE12" s="23">
        <f t="shared" si="18"/>
        <v>1119.84932026362</v>
      </c>
      <c r="AF12" s="27">
        <f>(1/(2*LOG(3.7*$I12/'Calculation Constants'!$B$4*1000)))^2</f>
        <v>1.1458969193927592E-2</v>
      </c>
      <c r="AG12" s="19">
        <f t="shared" si="6"/>
        <v>1.274999100520025</v>
      </c>
      <c r="AH12" s="19">
        <f>IF($H12&gt;0,'Calculation Constants'!$B$9*Hydraulics!$K12^2/2/9.81/MAX($F$4:$F$253)*$H12,"")</f>
        <v>6.3421890311175441E-2</v>
      </c>
      <c r="AI12" s="19">
        <f t="shared" si="19"/>
        <v>1.3384209908312004</v>
      </c>
      <c r="AJ12" s="19">
        <f t="shared" si="7"/>
        <v>0</v>
      </c>
      <c r="AK12" s="19">
        <f t="shared" si="20"/>
        <v>24.179632073349467</v>
      </c>
      <c r="AL12" s="23">
        <f t="shared" si="21"/>
        <v>1118.3106320733496</v>
      </c>
      <c r="AM12" s="22">
        <f>(1/(2*LOG(3.7*($I12-0.008)/'Calculation Constants'!$B$5*1000)))^2</f>
        <v>1.4542845531075887E-2</v>
      </c>
      <c r="AN12" s="19">
        <f t="shared" si="22"/>
        <v>1.6249731396833385</v>
      </c>
      <c r="AO12" s="19">
        <f>IF($H12&gt;0,'Calculation Constants'!$B$9*Hydraulics!$K12^2/2/9.81/MAX($F$4:$F$253)*$H12,"")</f>
        <v>6.3421890311175441E-2</v>
      </c>
      <c r="AP12" s="19">
        <f t="shared" si="23"/>
        <v>1.6883950299945139</v>
      </c>
      <c r="AQ12" s="19">
        <f t="shared" si="8"/>
        <v>0</v>
      </c>
      <c r="AR12" s="19">
        <f t="shared" si="24"/>
        <v>21.379839760043296</v>
      </c>
      <c r="AS12" s="23">
        <f t="shared" si="25"/>
        <v>1115.5108397600434</v>
      </c>
    </row>
    <row r="13" spans="1:45">
      <c r="A13" s="41" t="s">
        <v>84</v>
      </c>
      <c r="B13" s="18">
        <v>228</v>
      </c>
      <c r="C13" s="12">
        <f t="shared" si="28"/>
        <v>923.48400000000004</v>
      </c>
      <c r="D13" s="42">
        <v>10</v>
      </c>
      <c r="E13" s="35" t="str">
        <f t="shared" si="9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1.9</v>
      </c>
      <c r="J13" s="36">
        <f>'Flow Rate Calculations'!$B$7</f>
        <v>4.0831050228310497</v>
      </c>
      <c r="K13" s="36">
        <f t="shared" si="10"/>
        <v>1.440102709245225</v>
      </c>
      <c r="L13" s="37">
        <f>$I13*$K13/'Calculation Constants'!$B$7</f>
        <v>2421411.6350140949</v>
      </c>
      <c r="M13" s="37" t="str">
        <f t="shared" si="11"/>
        <v>Greater Dynamic Pressures</v>
      </c>
      <c r="N13" s="23">
        <f t="shared" si="12"/>
        <v>21.868096414356614</v>
      </c>
      <c r="O13" s="57">
        <f t="shared" si="0"/>
        <v>20.806235296572595</v>
      </c>
      <c r="P13" s="66">
        <f>MAX(I13*1000/'Calculation Constants'!$B$14,O13*10*I13*1000/2/('Calculation Constants'!$B$12*1000*'Calculation Constants'!$B$13))</f>
        <v>11.875</v>
      </c>
      <c r="Q13" s="68">
        <f t="shared" si="1"/>
        <v>1105894.9783427313</v>
      </c>
      <c r="R13" s="27">
        <f>(1/(2*LOG(3.7*$I13/'Calculation Constants'!$B$2*1000)))^2</f>
        <v>8.6699836115820689E-3</v>
      </c>
      <c r="S13" s="19">
        <f t="shared" si="13"/>
        <v>0.96467850809376621</v>
      </c>
      <c r="T13" s="19">
        <f>IF($H13&gt;0,'Calculation Constants'!$B$9*Hydraulics!$K13^2/2/9.81/MAX($F$4:$F$253)*$H13,"")</f>
        <v>6.3421890311175441E-2</v>
      </c>
      <c r="U13" s="19">
        <f t="shared" si="14"/>
        <v>1.0281003984049417</v>
      </c>
      <c r="V13" s="19">
        <f t="shared" si="2"/>
        <v>0</v>
      </c>
      <c r="W13" s="19">
        <f t="shared" si="3"/>
        <v>21.868096414356614</v>
      </c>
      <c r="X13" s="23">
        <f t="shared" si="15"/>
        <v>1119.7650964143565</v>
      </c>
      <c r="Y13" s="22">
        <f>(1/(2*LOG(3.7*$I13/'Calculation Constants'!$B$3*1000)))^2</f>
        <v>9.7303620360708887E-3</v>
      </c>
      <c r="Z13" s="19">
        <f t="shared" si="4"/>
        <v>1.0826630767363397</v>
      </c>
      <c r="AA13" s="19">
        <f>IF($H13&gt;0,'Calculation Constants'!$B$9*Hydraulics!$K13^2/2/9.81/MAX($F$4:$F$253)*$H13,"")</f>
        <v>6.3421890311175441E-2</v>
      </c>
      <c r="AB13" s="19">
        <f t="shared" si="27"/>
        <v>1.1460849670475151</v>
      </c>
      <c r="AC13" s="19">
        <f t="shared" si="5"/>
        <v>0</v>
      </c>
      <c r="AD13" s="19">
        <f t="shared" si="17"/>
        <v>20.806235296572595</v>
      </c>
      <c r="AE13" s="23">
        <f t="shared" si="18"/>
        <v>1118.7032352965725</v>
      </c>
      <c r="AF13" s="27">
        <f>(1/(2*LOG(3.7*$I13/'Calculation Constants'!$B$4*1000)))^2</f>
        <v>1.1458969193927592E-2</v>
      </c>
      <c r="AG13" s="19">
        <f t="shared" si="6"/>
        <v>1.274999100520025</v>
      </c>
      <c r="AH13" s="19">
        <f>IF($H13&gt;0,'Calculation Constants'!$B$9*Hydraulics!$K13^2/2/9.81/MAX($F$4:$F$253)*$H13,"")</f>
        <v>6.3421890311175441E-2</v>
      </c>
      <c r="AI13" s="19">
        <f t="shared" si="19"/>
        <v>1.3384209908312004</v>
      </c>
      <c r="AJ13" s="19">
        <f t="shared" si="7"/>
        <v>0</v>
      </c>
      <c r="AK13" s="19">
        <f t="shared" si="20"/>
        <v>19.075211082518308</v>
      </c>
      <c r="AL13" s="23">
        <f t="shared" si="21"/>
        <v>1116.9722110825182</v>
      </c>
      <c r="AM13" s="22">
        <f>(1/(2*LOG(3.7*($I13-0.008)/'Calculation Constants'!$B$5*1000)))^2</f>
        <v>1.4542845531075887E-2</v>
      </c>
      <c r="AN13" s="19">
        <f t="shared" si="22"/>
        <v>1.6249731396833385</v>
      </c>
      <c r="AO13" s="19">
        <f>IF($H13&gt;0,'Calculation Constants'!$B$9*Hydraulics!$K13^2/2/9.81/MAX($F$4:$F$253)*$H13,"")</f>
        <v>6.3421890311175441E-2</v>
      </c>
      <c r="AP13" s="19">
        <f t="shared" si="23"/>
        <v>1.6883950299945139</v>
      </c>
      <c r="AQ13" s="19">
        <f t="shared" si="8"/>
        <v>0</v>
      </c>
      <c r="AR13" s="19">
        <f t="shared" si="24"/>
        <v>15.925444730048866</v>
      </c>
      <c r="AS13" s="23">
        <f t="shared" si="25"/>
        <v>1113.8224447300488</v>
      </c>
    </row>
    <row r="14" spans="1:45">
      <c r="A14" s="41" t="s">
        <v>93</v>
      </c>
      <c r="B14" s="18">
        <v>274</v>
      </c>
      <c r="C14" s="12">
        <f t="shared" si="28"/>
        <v>1018.819</v>
      </c>
      <c r="D14" s="42">
        <v>10</v>
      </c>
      <c r="E14" s="35" t="str">
        <f t="shared" si="9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1.9</v>
      </c>
      <c r="J14" s="36">
        <f>'Flow Rate Calculations'!$B$7</f>
        <v>4.0831050228310497</v>
      </c>
      <c r="K14" s="36">
        <f t="shared" si="10"/>
        <v>1.440102709245225</v>
      </c>
      <c r="L14" s="37">
        <f>$I14*$K14/'Calculation Constants'!$B$7</f>
        <v>2421411.6350140949</v>
      </c>
      <c r="M14" s="37">
        <f t="shared" si="11"/>
        <v>10</v>
      </c>
      <c r="N14" s="23">
        <f t="shared" si="12"/>
        <v>10</v>
      </c>
      <c r="O14" s="57">
        <f t="shared" si="0"/>
        <v>10</v>
      </c>
      <c r="P14" s="66">
        <f>MAX(I14*1000/'Calculation Constants'!$B$14,O14*10*I14*1000/2/('Calculation Constants'!$B$12*1000*'Calculation Constants'!$B$13))</f>
        <v>11.875</v>
      </c>
      <c r="Q14" s="68">
        <f t="shared" si="1"/>
        <v>1105894.9783427313</v>
      </c>
      <c r="R14" s="27">
        <f>(1/(2*LOG(3.7*$I14/'Calculation Constants'!$B$2*1000)))^2</f>
        <v>8.6699836115820689E-3</v>
      </c>
      <c r="S14" s="19">
        <f t="shared" si="13"/>
        <v>0.96467850809376621</v>
      </c>
      <c r="T14" s="19">
        <f>IF($H14&gt;0,'Calculation Constants'!$B$9*Hydraulics!$K14^2/2/9.81/MAX($F$4:$F$253)*$H14,"")</f>
        <v>6.3421890311175441E-2</v>
      </c>
      <c r="U14" s="19">
        <f t="shared" si="14"/>
        <v>1.0281003984049417</v>
      </c>
      <c r="V14" s="19">
        <f t="shared" si="2"/>
        <v>0</v>
      </c>
      <c r="W14" s="19">
        <f t="shared" si="3"/>
        <v>10</v>
      </c>
      <c r="X14" s="23">
        <f t="shared" si="15"/>
        <v>1111.67</v>
      </c>
      <c r="Y14" s="22">
        <f>(1/(2*LOG(3.7*$I14/'Calculation Constants'!$B$3*1000)))^2</f>
        <v>9.7303620360708887E-3</v>
      </c>
      <c r="Z14" s="19">
        <f t="shared" si="4"/>
        <v>1.0826630767363397</v>
      </c>
      <c r="AA14" s="19">
        <f>IF($H14&gt;0,'Calculation Constants'!$B$9*Hydraulics!$K14^2/2/9.81/MAX($F$4:$F$253)*$H14,"")</f>
        <v>6.3421890311175441E-2</v>
      </c>
      <c r="AB14" s="19">
        <f t="shared" si="27"/>
        <v>1.1460849670475151</v>
      </c>
      <c r="AC14" s="19">
        <f t="shared" si="5"/>
        <v>0</v>
      </c>
      <c r="AD14" s="19">
        <f t="shared" si="17"/>
        <v>10</v>
      </c>
      <c r="AE14" s="23">
        <f t="shared" si="18"/>
        <v>1111.67</v>
      </c>
      <c r="AF14" s="27">
        <f>(1/(2*LOG(3.7*$I14/'Calculation Constants'!$B$4*1000)))^2</f>
        <v>1.1458969193927592E-2</v>
      </c>
      <c r="AG14" s="19">
        <f t="shared" si="6"/>
        <v>1.274999100520025</v>
      </c>
      <c r="AH14" s="19">
        <f>IF($H14&gt;0,'Calculation Constants'!$B$9*Hydraulics!$K14^2/2/9.81/MAX($F$4:$F$253)*$H14,"")</f>
        <v>6.3421890311175441E-2</v>
      </c>
      <c r="AI14" s="19">
        <f t="shared" si="19"/>
        <v>1.3384209908312004</v>
      </c>
      <c r="AJ14" s="19">
        <f t="shared" si="7"/>
        <v>0</v>
      </c>
      <c r="AK14" s="19">
        <f t="shared" si="20"/>
        <v>10</v>
      </c>
      <c r="AL14" s="23">
        <f t="shared" si="21"/>
        <v>1111.67</v>
      </c>
      <c r="AM14" s="22">
        <f>(1/(2*LOG(3.7*($I14-0.008)/'Calculation Constants'!$B$5*1000)))^2</f>
        <v>1.4542845531075887E-2</v>
      </c>
      <c r="AN14" s="19">
        <f t="shared" si="22"/>
        <v>1.6249731396833385</v>
      </c>
      <c r="AO14" s="19">
        <f>IF($H14&gt;0,'Calculation Constants'!$B$9*Hydraulics!$K14^2/2/9.81/MAX($F$4:$F$253)*$H14,"")</f>
        <v>6.3421890311175441E-2</v>
      </c>
      <c r="AP14" s="19">
        <f t="shared" si="23"/>
        <v>1.6883950299945139</v>
      </c>
      <c r="AQ14" s="19">
        <f t="shared" si="8"/>
        <v>0</v>
      </c>
      <c r="AR14" s="19">
        <f t="shared" si="24"/>
        <v>10</v>
      </c>
      <c r="AS14" s="23">
        <f t="shared" si="25"/>
        <v>1111.67</v>
      </c>
    </row>
    <row r="15" spans="1:45">
      <c r="A15" s="74" t="s">
        <v>92</v>
      </c>
      <c r="B15" s="75">
        <v>330</v>
      </c>
      <c r="C15" s="76">
        <f t="shared" si="28"/>
        <v>1146.405</v>
      </c>
      <c r="D15" s="77">
        <v>10</v>
      </c>
      <c r="E15" s="35" t="str">
        <f t="shared" si="9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1.9</v>
      </c>
      <c r="J15" s="36">
        <f>'Flow Rate Calculations'!$B$7</f>
        <v>4.0831050228310497</v>
      </c>
      <c r="K15" s="36">
        <f t="shared" si="10"/>
        <v>1.440102709245225</v>
      </c>
      <c r="L15" s="37">
        <f>$I15*$K15/'Calculation Constants'!$B$7</f>
        <v>2421411.6350140949</v>
      </c>
      <c r="M15" s="37">
        <f t="shared" si="11"/>
        <v>15.718000000000075</v>
      </c>
      <c r="N15" s="23">
        <f t="shared" si="12"/>
        <v>14.689899601595243</v>
      </c>
      <c r="O15" s="57">
        <f t="shared" si="0"/>
        <v>15.718000000000075</v>
      </c>
      <c r="P15" s="66">
        <f>MAX(I15*1000/'Calculation Constants'!$B$14,O15*10*I15*1000/2/('Calculation Constants'!$B$12*1000*'Calculation Constants'!$B$13))</f>
        <v>11.875</v>
      </c>
      <c r="Q15" s="68">
        <f t="shared" si="1"/>
        <v>1105894.9783427313</v>
      </c>
      <c r="R15" s="27">
        <f>(1/(2*LOG(3.7*$I15/'Calculation Constants'!$B$2*1000)))^2</f>
        <v>8.6699836115820689E-3</v>
      </c>
      <c r="S15" s="19">
        <f t="shared" si="13"/>
        <v>0.96467850809376621</v>
      </c>
      <c r="T15" s="19">
        <f>IF($H15&gt;0,'Calculation Constants'!$B$9*Hydraulics!$K15^2/2/9.81/MAX($F$4:$F$253)*$H15,"")</f>
        <v>6.3421890311175441E-2</v>
      </c>
      <c r="U15" s="19">
        <f t="shared" si="14"/>
        <v>1.0281003984049417</v>
      </c>
      <c r="V15" s="19">
        <f t="shared" si="2"/>
        <v>0</v>
      </c>
      <c r="W15" s="19">
        <f t="shared" si="3"/>
        <v>14.689899601595243</v>
      </c>
      <c r="X15" s="23">
        <f t="shared" si="15"/>
        <v>1110.6418996015952</v>
      </c>
      <c r="Y15" s="22">
        <f>(1/(2*LOG(3.7*$I15/'Calculation Constants'!$B$3*1000)))^2</f>
        <v>9.7303620360708887E-3</v>
      </c>
      <c r="Z15" s="19">
        <f t="shared" si="4"/>
        <v>1.0826630767363397</v>
      </c>
      <c r="AA15" s="19">
        <f>IF($H15&gt;0,'Calculation Constants'!$B$9*Hydraulics!$K15^2/2/9.81/MAX($F$4:$F$253)*$H15,"")</f>
        <v>6.3421890311175441E-2</v>
      </c>
      <c r="AB15" s="19">
        <f t="shared" si="27"/>
        <v>1.1460849670475151</v>
      </c>
      <c r="AC15" s="19">
        <f t="shared" si="5"/>
        <v>0</v>
      </c>
      <c r="AD15" s="19">
        <f t="shared" si="17"/>
        <v>14.571915032952575</v>
      </c>
      <c r="AE15" s="23">
        <f t="shared" si="18"/>
        <v>1110.5239150329526</v>
      </c>
      <c r="AF15" s="27">
        <f>(1/(2*LOG(3.7*$I15/'Calculation Constants'!$B$4*1000)))^2</f>
        <v>1.1458969193927592E-2</v>
      </c>
      <c r="AG15" s="19">
        <f t="shared" si="6"/>
        <v>1.274999100520025</v>
      </c>
      <c r="AH15" s="19">
        <f>IF($H15&gt;0,'Calculation Constants'!$B$9*Hydraulics!$K15^2/2/9.81/MAX($F$4:$F$253)*$H15,"")</f>
        <v>6.3421890311175441E-2</v>
      </c>
      <c r="AI15" s="19">
        <f t="shared" si="19"/>
        <v>1.3384209908312004</v>
      </c>
      <c r="AJ15" s="19">
        <f t="shared" si="7"/>
        <v>0</v>
      </c>
      <c r="AK15" s="19">
        <f t="shared" si="20"/>
        <v>14.379579009168765</v>
      </c>
      <c r="AL15" s="23">
        <f t="shared" si="21"/>
        <v>1110.3315790091688</v>
      </c>
      <c r="AM15" s="22">
        <f>(1/(2*LOG(3.7*($I15-0.008)/'Calculation Constants'!$B$5*1000)))^2</f>
        <v>1.4542845531075887E-2</v>
      </c>
      <c r="AN15" s="19">
        <f t="shared" si="22"/>
        <v>1.6249731396833385</v>
      </c>
      <c r="AO15" s="19">
        <f>IF($H15&gt;0,'Calculation Constants'!$B$9*Hydraulics!$K15^2/2/9.81/MAX($F$4:$F$253)*$H15,"")</f>
        <v>6.3421890311175441E-2</v>
      </c>
      <c r="AP15" s="19">
        <f t="shared" si="23"/>
        <v>1.6883950299945139</v>
      </c>
      <c r="AQ15" s="19">
        <f t="shared" si="8"/>
        <v>0</v>
      </c>
      <c r="AR15" s="19">
        <f t="shared" si="24"/>
        <v>14.029604970005494</v>
      </c>
      <c r="AS15" s="23">
        <f t="shared" si="25"/>
        <v>1109.9816049700055</v>
      </c>
    </row>
    <row r="16" spans="1:45" ht="15.75" thickBot="1">
      <c r="A16" s="43" t="s">
        <v>19</v>
      </c>
      <c r="B16" s="44">
        <v>500</v>
      </c>
      <c r="C16" s="45">
        <f t="shared" si="28"/>
        <v>929.62900000000002</v>
      </c>
      <c r="D16" s="46">
        <v>10</v>
      </c>
      <c r="E16" s="35" t="str">
        <f t="shared" si="9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1.9</v>
      </c>
      <c r="J16" s="36">
        <f>'Flow Rate Calculations'!$B$7</f>
        <v>4.0831050228310497</v>
      </c>
      <c r="K16" s="36">
        <f t="shared" si="10"/>
        <v>1.440102709245225</v>
      </c>
      <c r="L16" s="37">
        <f>$I16*$K16/'Calculation Constants'!$B$7</f>
        <v>2421411.6350140949</v>
      </c>
      <c r="M16" s="37">
        <f t="shared" si="11"/>
        <v>21.563000000000102</v>
      </c>
      <c r="N16" s="23">
        <f t="shared" si="12"/>
        <v>19.50679920319044</v>
      </c>
      <c r="O16" s="57">
        <f t="shared" si="0"/>
        <v>21.563000000000102</v>
      </c>
      <c r="P16" s="66">
        <f>MAX(I16*1000/'Calculation Constants'!$B$14,O16*10*I16*1000/2/('Calculation Constants'!$B$12*1000*'Calculation Constants'!$B$13))</f>
        <v>11.875</v>
      </c>
      <c r="Q16" s="68">
        <f t="shared" si="1"/>
        <v>1105894.9783427313</v>
      </c>
      <c r="R16" s="27">
        <f>(1/(2*LOG(3.7*$I16/'Calculation Constants'!$B$2*1000)))^2</f>
        <v>8.6699836115820689E-3</v>
      </c>
      <c r="S16" s="19">
        <f t="shared" si="13"/>
        <v>0.96467850809376621</v>
      </c>
      <c r="T16" s="19">
        <f>IF($H16&gt;0,'Calculation Constants'!$B$9*Hydraulics!$K16^2/2/9.81/MAX($F$4:$F$253)*$H16,"")</f>
        <v>6.3421890311175441E-2</v>
      </c>
      <c r="U16" s="19">
        <f t="shared" si="14"/>
        <v>1.0281003984049417</v>
      </c>
      <c r="V16" s="19">
        <f t="shared" si="2"/>
        <v>0</v>
      </c>
      <c r="W16" s="19">
        <f t="shared" si="3"/>
        <v>19.50679920319044</v>
      </c>
      <c r="X16" s="23">
        <f t="shared" si="15"/>
        <v>1109.6137992031904</v>
      </c>
      <c r="Y16" s="22">
        <f>(1/(2*LOG(3.7*$I16/'Calculation Constants'!$B$3*1000)))^2</f>
        <v>9.7303620360708887E-3</v>
      </c>
      <c r="Z16" s="19">
        <f t="shared" si="4"/>
        <v>1.0826630767363397</v>
      </c>
      <c r="AA16" s="19">
        <f>IF($H16&gt;0,'Calculation Constants'!$B$9*Hydraulics!$K16^2/2/9.81/MAX($F$4:$F$253)*$H16,"")</f>
        <v>6.3421890311175441E-2</v>
      </c>
      <c r="AB16" s="19">
        <f t="shared" si="27"/>
        <v>1.1460849670475151</v>
      </c>
      <c r="AC16" s="19">
        <f t="shared" si="5"/>
        <v>0</v>
      </c>
      <c r="AD16" s="19">
        <f t="shared" si="17"/>
        <v>19.270830065905102</v>
      </c>
      <c r="AE16" s="23">
        <f t="shared" si="18"/>
        <v>1109.3778300659051</v>
      </c>
      <c r="AF16" s="27">
        <f>(1/(2*LOG(3.7*$I16/'Calculation Constants'!$B$4*1000)))^2</f>
        <v>1.1458969193927592E-2</v>
      </c>
      <c r="AG16" s="19">
        <f t="shared" si="6"/>
        <v>1.274999100520025</v>
      </c>
      <c r="AH16" s="19">
        <f>IF($H16&gt;0,'Calculation Constants'!$B$9*Hydraulics!$K16^2/2/9.81/MAX($F$4:$F$253)*$H16,"")</f>
        <v>6.3421890311175441E-2</v>
      </c>
      <c r="AI16" s="19">
        <f t="shared" si="19"/>
        <v>1.3384209908312004</v>
      </c>
      <c r="AJ16" s="19">
        <f t="shared" si="7"/>
        <v>0</v>
      </c>
      <c r="AK16" s="19">
        <f t="shared" si="20"/>
        <v>18.886158018337483</v>
      </c>
      <c r="AL16" s="23">
        <f t="shared" si="21"/>
        <v>1108.9931580183375</v>
      </c>
      <c r="AM16" s="22">
        <f>(1/(2*LOG(3.7*($I16-0.008)/'Calculation Constants'!$B$5*1000)))^2</f>
        <v>1.4542845531075887E-2</v>
      </c>
      <c r="AN16" s="19">
        <f t="shared" si="22"/>
        <v>1.6249731396833385</v>
      </c>
      <c r="AO16" s="19">
        <f>IF($H16&gt;0,'Calculation Constants'!$B$9*Hydraulics!$K16^2/2/9.81/MAX($F$4:$F$253)*$H16,"")</f>
        <v>6.3421890311175441E-2</v>
      </c>
      <c r="AP16" s="19">
        <f t="shared" si="23"/>
        <v>1.6883950299945139</v>
      </c>
      <c r="AQ16" s="19">
        <f t="shared" si="8"/>
        <v>0</v>
      </c>
      <c r="AR16" s="19">
        <f t="shared" si="24"/>
        <v>18.18620994001094</v>
      </c>
      <c r="AS16" s="23">
        <f t="shared" si="25"/>
        <v>1108.2932099400109</v>
      </c>
    </row>
    <row r="17" spans="1:45">
      <c r="A17" s="52"/>
      <c r="E17" s="35" t="str">
        <f t="shared" si="9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1.9</v>
      </c>
      <c r="J17" s="36">
        <f>'Flow Rate Calculations'!$B$7</f>
        <v>4.0831050228310497</v>
      </c>
      <c r="K17" s="36">
        <f t="shared" si="10"/>
        <v>1.440102709245225</v>
      </c>
      <c r="L17" s="37">
        <f>$I17*$K17/'Calculation Constants'!$B$7</f>
        <v>2421411.6350140949</v>
      </c>
      <c r="M17" s="37">
        <f t="shared" si="11"/>
        <v>25.889000000000124</v>
      </c>
      <c r="N17" s="23">
        <f t="shared" si="12"/>
        <v>22.80469880478563</v>
      </c>
      <c r="O17" s="57">
        <f t="shared" si="0"/>
        <v>25.889000000000124</v>
      </c>
      <c r="P17" s="66">
        <f>MAX(I17*1000/'Calculation Constants'!$B$14,O17*10*I17*1000/2/('Calculation Constants'!$B$12*1000*'Calculation Constants'!$B$13))</f>
        <v>11.875</v>
      </c>
      <c r="Q17" s="68">
        <f t="shared" si="1"/>
        <v>1105894.9783427313</v>
      </c>
      <c r="R17" s="27">
        <f>(1/(2*LOG(3.7*$I17/'Calculation Constants'!$B$2*1000)))^2</f>
        <v>8.6699836115820689E-3</v>
      </c>
      <c r="S17" s="19">
        <f t="shared" si="13"/>
        <v>0.96467850809376621</v>
      </c>
      <c r="T17" s="19">
        <f>IF($H17&gt;0,'Calculation Constants'!$B$9*Hydraulics!$K17^2/2/9.81/MAX($F$4:$F$253)*$H17,"")</f>
        <v>6.3421890311175441E-2</v>
      </c>
      <c r="U17" s="19">
        <f t="shared" si="14"/>
        <v>1.0281003984049417</v>
      </c>
      <c r="V17" s="19">
        <f t="shared" si="2"/>
        <v>0</v>
      </c>
      <c r="W17" s="19">
        <f t="shared" si="3"/>
        <v>22.80469880478563</v>
      </c>
      <c r="X17" s="23">
        <f t="shared" si="15"/>
        <v>1108.5856988047856</v>
      </c>
      <c r="Y17" s="22">
        <f>(1/(2*LOG(3.7*$I17/'Calculation Constants'!$B$3*1000)))^2</f>
        <v>9.7303620360708887E-3</v>
      </c>
      <c r="Z17" s="19">
        <f t="shared" si="4"/>
        <v>1.0826630767363397</v>
      </c>
      <c r="AA17" s="19">
        <f>IF($H17&gt;0,'Calculation Constants'!$B$9*Hydraulics!$K17^2/2/9.81/MAX($F$4:$F$253)*$H17,"")</f>
        <v>6.3421890311175441E-2</v>
      </c>
      <c r="AB17" s="19">
        <f t="shared" si="27"/>
        <v>1.1460849670475151</v>
      </c>
      <c r="AC17" s="19">
        <f t="shared" si="5"/>
        <v>0</v>
      </c>
      <c r="AD17" s="19">
        <f t="shared" si="17"/>
        <v>22.450745098857624</v>
      </c>
      <c r="AE17" s="23">
        <f t="shared" si="18"/>
        <v>1108.2317450988576</v>
      </c>
      <c r="AF17" s="27">
        <f>(1/(2*LOG(3.7*$I17/'Calculation Constants'!$B$4*1000)))^2</f>
        <v>1.1458969193927592E-2</v>
      </c>
      <c r="AG17" s="19">
        <f t="shared" si="6"/>
        <v>1.274999100520025</v>
      </c>
      <c r="AH17" s="19">
        <f>IF($H17&gt;0,'Calculation Constants'!$B$9*Hydraulics!$K17^2/2/9.81/MAX($F$4:$F$253)*$H17,"")</f>
        <v>6.3421890311175441E-2</v>
      </c>
      <c r="AI17" s="19">
        <f t="shared" si="19"/>
        <v>1.3384209908312004</v>
      </c>
      <c r="AJ17" s="19">
        <f t="shared" si="7"/>
        <v>0</v>
      </c>
      <c r="AK17" s="19">
        <f t="shared" si="20"/>
        <v>21.873737027506195</v>
      </c>
      <c r="AL17" s="23">
        <f t="shared" si="21"/>
        <v>1107.6547370275061</v>
      </c>
      <c r="AM17" s="22">
        <f>(1/(2*LOG(3.7*($I17-0.008)/'Calculation Constants'!$B$5*1000)))^2</f>
        <v>1.4542845531075887E-2</v>
      </c>
      <c r="AN17" s="19">
        <f t="shared" si="22"/>
        <v>1.6249731396833385</v>
      </c>
      <c r="AO17" s="19">
        <f>IF($H17&gt;0,'Calculation Constants'!$B$9*Hydraulics!$K17^2/2/9.81/MAX($F$4:$F$253)*$H17,"")</f>
        <v>6.3421890311175441E-2</v>
      </c>
      <c r="AP17" s="19">
        <f t="shared" si="23"/>
        <v>1.6883950299945139</v>
      </c>
      <c r="AQ17" s="19">
        <f t="shared" si="8"/>
        <v>0</v>
      </c>
      <c r="AR17" s="19">
        <f t="shared" si="24"/>
        <v>20.823814910016381</v>
      </c>
      <c r="AS17" s="23">
        <f t="shared" si="25"/>
        <v>1106.6048149100163</v>
      </c>
    </row>
    <row r="18" spans="1:45">
      <c r="C18" s="11">
        <f>C14-C15</f>
        <v>-127.58600000000001</v>
      </c>
      <c r="E18" s="35" t="str">
        <f t="shared" si="9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1.9</v>
      </c>
      <c r="J18" s="36">
        <f>'Flow Rate Calculations'!$B$7</f>
        <v>4.0831050228310497</v>
      </c>
      <c r="K18" s="36">
        <f t="shared" si="10"/>
        <v>1.440102709245225</v>
      </c>
      <c r="L18" s="37">
        <f>$I18*$K18/'Calculation Constants'!$B$7</f>
        <v>2421411.6350140949</v>
      </c>
      <c r="M18" s="37">
        <f t="shared" si="11"/>
        <v>29.779999999999973</v>
      </c>
      <c r="N18" s="23">
        <f t="shared" si="12"/>
        <v>25.667598406380648</v>
      </c>
      <c r="O18" s="57">
        <f t="shared" si="0"/>
        <v>29.779999999999973</v>
      </c>
      <c r="P18" s="66">
        <f>MAX(I18*1000/'Calculation Constants'!$B$14,O18*10*I18*1000/2/('Calculation Constants'!$B$12*1000*'Calculation Constants'!$B$13))</f>
        <v>11.875</v>
      </c>
      <c r="Q18" s="68">
        <f t="shared" si="1"/>
        <v>1105894.9783427313</v>
      </c>
      <c r="R18" s="27">
        <f>(1/(2*LOG(3.7*$I18/'Calculation Constants'!$B$2*1000)))^2</f>
        <v>8.6699836115820689E-3</v>
      </c>
      <c r="S18" s="19">
        <f t="shared" si="13"/>
        <v>0.96467850809376621</v>
      </c>
      <c r="T18" s="19">
        <f>IF($H18&gt;0,'Calculation Constants'!$B$9*Hydraulics!$K18^2/2/9.81/MAX($F$4:$F$253)*$H18,"")</f>
        <v>6.3421890311175441E-2</v>
      </c>
      <c r="U18" s="19">
        <f t="shared" si="14"/>
        <v>1.0281003984049417</v>
      </c>
      <c r="V18" s="19">
        <f t="shared" si="2"/>
        <v>0</v>
      </c>
      <c r="W18" s="19">
        <f t="shared" si="3"/>
        <v>25.667598406380648</v>
      </c>
      <c r="X18" s="23">
        <f t="shared" si="15"/>
        <v>1107.5575984063807</v>
      </c>
      <c r="Y18" s="22">
        <f>(1/(2*LOG(3.7*$I18/'Calculation Constants'!$B$3*1000)))^2</f>
        <v>9.7303620360708887E-3</v>
      </c>
      <c r="Z18" s="19">
        <f t="shared" si="4"/>
        <v>1.0826630767363397</v>
      </c>
      <c r="AA18" s="19">
        <f>IF($H18&gt;0,'Calculation Constants'!$B$9*Hydraulics!$K18^2/2/9.81/MAX($F$4:$F$253)*$H18,"")</f>
        <v>6.3421890311175441E-2</v>
      </c>
      <c r="AB18" s="19">
        <f t="shared" si="27"/>
        <v>1.1460849670475151</v>
      </c>
      <c r="AC18" s="19">
        <f t="shared" si="5"/>
        <v>0</v>
      </c>
      <c r="AD18" s="19">
        <f t="shared" si="17"/>
        <v>25.195660131809973</v>
      </c>
      <c r="AE18" s="23">
        <f t="shared" si="18"/>
        <v>1107.0856601318101</v>
      </c>
      <c r="AF18" s="27">
        <f>(1/(2*LOG(3.7*$I18/'Calculation Constants'!$B$4*1000)))^2</f>
        <v>1.1458969193927592E-2</v>
      </c>
      <c r="AG18" s="19">
        <f t="shared" si="6"/>
        <v>1.274999100520025</v>
      </c>
      <c r="AH18" s="19">
        <f>IF($H18&gt;0,'Calculation Constants'!$B$9*Hydraulics!$K18^2/2/9.81/MAX($F$4:$F$253)*$H18,"")</f>
        <v>6.3421890311175441E-2</v>
      </c>
      <c r="AI18" s="19">
        <f t="shared" si="19"/>
        <v>1.3384209908312004</v>
      </c>
      <c r="AJ18" s="19">
        <f t="shared" si="7"/>
        <v>0</v>
      </c>
      <c r="AK18" s="19">
        <f t="shared" si="20"/>
        <v>24.426316036674734</v>
      </c>
      <c r="AL18" s="23">
        <f t="shared" si="21"/>
        <v>1106.3163160366748</v>
      </c>
      <c r="AM18" s="22">
        <f>(1/(2*LOG(3.7*($I18-0.008)/'Calculation Constants'!$B$5*1000)))^2</f>
        <v>1.4542845531075887E-2</v>
      </c>
      <c r="AN18" s="19">
        <f t="shared" si="22"/>
        <v>1.6249731396833385</v>
      </c>
      <c r="AO18" s="19">
        <f>IF($H18&gt;0,'Calculation Constants'!$B$9*Hydraulics!$K18^2/2/9.81/MAX($F$4:$F$253)*$H18,"")</f>
        <v>6.3421890311175441E-2</v>
      </c>
      <c r="AP18" s="19">
        <f t="shared" si="23"/>
        <v>1.6883950299945139</v>
      </c>
      <c r="AQ18" s="19">
        <f t="shared" si="8"/>
        <v>0</v>
      </c>
      <c r="AR18" s="19">
        <f t="shared" si="24"/>
        <v>23.026419880021649</v>
      </c>
      <c r="AS18" s="23">
        <f t="shared" si="25"/>
        <v>1104.9164198800217</v>
      </c>
    </row>
    <row r="19" spans="1:45">
      <c r="E19" s="35" t="str">
        <f t="shared" si="9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1.9</v>
      </c>
      <c r="J19" s="36">
        <f>'Flow Rate Calculations'!$B$7</f>
        <v>4.0831050228310497</v>
      </c>
      <c r="K19" s="36">
        <f t="shared" si="10"/>
        <v>1.440102709245225</v>
      </c>
      <c r="L19" s="37">
        <f>$I19*$K19/'Calculation Constants'!$B$7</f>
        <v>2421411.6350140949</v>
      </c>
      <c r="M19" s="37">
        <f t="shared" si="11"/>
        <v>33.733000000000175</v>
      </c>
      <c r="N19" s="23">
        <f t="shared" si="12"/>
        <v>28.592498007976019</v>
      </c>
      <c r="O19" s="57">
        <f t="shared" si="0"/>
        <v>33.733000000000175</v>
      </c>
      <c r="P19" s="66">
        <f>MAX(I19*1000/'Calculation Constants'!$B$14,O19*10*I19*1000/2/('Calculation Constants'!$B$12*1000*'Calculation Constants'!$B$13))</f>
        <v>11.875</v>
      </c>
      <c r="Q19" s="68">
        <f t="shared" si="1"/>
        <v>1105894.9783427313</v>
      </c>
      <c r="R19" s="27">
        <f>(1/(2*LOG(3.7*$I19/'Calculation Constants'!$B$2*1000)))^2</f>
        <v>8.6699836115820689E-3</v>
      </c>
      <c r="S19" s="19">
        <f t="shared" si="13"/>
        <v>0.96467850809376621</v>
      </c>
      <c r="T19" s="19">
        <f>IF($H19&gt;0,'Calculation Constants'!$B$9*Hydraulics!$K19^2/2/9.81/MAX($F$4:$F$253)*$H19,"")</f>
        <v>6.3421890311175441E-2</v>
      </c>
      <c r="U19" s="19">
        <f t="shared" si="14"/>
        <v>1.0281003984049417</v>
      </c>
      <c r="V19" s="19">
        <f t="shared" si="2"/>
        <v>0</v>
      </c>
      <c r="W19" s="19">
        <f t="shared" si="3"/>
        <v>28.592498007976019</v>
      </c>
      <c r="X19" s="23">
        <f t="shared" si="15"/>
        <v>1106.5294980079759</v>
      </c>
      <c r="Y19" s="22">
        <f>(1/(2*LOG(3.7*$I19/'Calculation Constants'!$B$3*1000)))^2</f>
        <v>9.7303620360708887E-3</v>
      </c>
      <c r="Z19" s="19">
        <f t="shared" si="4"/>
        <v>1.0826630767363397</v>
      </c>
      <c r="AA19" s="19">
        <f>IF($H19&gt;0,'Calculation Constants'!$B$9*Hydraulics!$K19^2/2/9.81/MAX($F$4:$F$253)*$H19,"")</f>
        <v>6.3421890311175441E-2</v>
      </c>
      <c r="AB19" s="19">
        <f t="shared" si="27"/>
        <v>1.1460849670475151</v>
      </c>
      <c r="AC19" s="19">
        <f t="shared" si="5"/>
        <v>0</v>
      </c>
      <c r="AD19" s="19">
        <f t="shared" si="17"/>
        <v>28.002575164762675</v>
      </c>
      <c r="AE19" s="23">
        <f t="shared" si="18"/>
        <v>1105.9395751647626</v>
      </c>
      <c r="AF19" s="27">
        <f>(1/(2*LOG(3.7*$I19/'Calculation Constants'!$B$4*1000)))^2</f>
        <v>1.1458969193927592E-2</v>
      </c>
      <c r="AG19" s="19">
        <f t="shared" si="6"/>
        <v>1.274999100520025</v>
      </c>
      <c r="AH19" s="19">
        <f>IF($H19&gt;0,'Calculation Constants'!$B$9*Hydraulics!$K19^2/2/9.81/MAX($F$4:$F$253)*$H19,"")</f>
        <v>6.3421890311175441E-2</v>
      </c>
      <c r="AI19" s="19">
        <f t="shared" si="19"/>
        <v>1.3384209908312004</v>
      </c>
      <c r="AJ19" s="19">
        <f t="shared" si="7"/>
        <v>0</v>
      </c>
      <c r="AK19" s="19">
        <f t="shared" si="20"/>
        <v>27.040895045843627</v>
      </c>
      <c r="AL19" s="23">
        <f t="shared" si="21"/>
        <v>1104.9778950458435</v>
      </c>
      <c r="AM19" s="22">
        <f>(1/(2*LOG(3.7*($I19-0.008)/'Calculation Constants'!$B$5*1000)))^2</f>
        <v>1.4542845531075887E-2</v>
      </c>
      <c r="AN19" s="19">
        <f t="shared" si="22"/>
        <v>1.6249731396833385</v>
      </c>
      <c r="AO19" s="19">
        <f>IF($H19&gt;0,'Calculation Constants'!$B$9*Hydraulics!$K19^2/2/9.81/MAX($F$4:$F$253)*$H19,"")</f>
        <v>6.3421890311175441E-2</v>
      </c>
      <c r="AP19" s="19">
        <f t="shared" si="23"/>
        <v>1.6883950299945139</v>
      </c>
      <c r="AQ19" s="19">
        <f t="shared" si="8"/>
        <v>0</v>
      </c>
      <c r="AR19" s="19">
        <f t="shared" si="24"/>
        <v>25.29102485002727</v>
      </c>
      <c r="AS19" s="23">
        <f t="shared" si="25"/>
        <v>1103.2280248500272</v>
      </c>
    </row>
    <row r="20" spans="1:45">
      <c r="E20" s="35" t="str">
        <f t="shared" si="9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1.9</v>
      </c>
      <c r="J20" s="36">
        <f>'Flow Rate Calculations'!$B$7</f>
        <v>4.0831050228310497</v>
      </c>
      <c r="K20" s="36">
        <f t="shared" si="10"/>
        <v>1.440102709245225</v>
      </c>
      <c r="L20" s="37">
        <f>$I20*$K20/'Calculation Constants'!$B$7</f>
        <v>2421411.6350140949</v>
      </c>
      <c r="M20" s="37">
        <f t="shared" si="11"/>
        <v>36.779999999999973</v>
      </c>
      <c r="N20" s="23">
        <f t="shared" si="12"/>
        <v>30.611397609570986</v>
      </c>
      <c r="O20" s="57">
        <f t="shared" si="0"/>
        <v>36.779999999999973</v>
      </c>
      <c r="P20" s="66">
        <f>MAX(I20*1000/'Calculation Constants'!$B$14,O20*10*I20*1000/2/('Calculation Constants'!$B$12*1000*'Calculation Constants'!$B$13))</f>
        <v>11.875</v>
      </c>
      <c r="Q20" s="68">
        <f t="shared" si="1"/>
        <v>1105894.9783427313</v>
      </c>
      <c r="R20" s="27">
        <f>(1/(2*LOG(3.7*$I20/'Calculation Constants'!$B$2*1000)))^2</f>
        <v>8.6699836115820689E-3</v>
      </c>
      <c r="S20" s="19">
        <f t="shared" si="13"/>
        <v>0.96467850809376621</v>
      </c>
      <c r="T20" s="19">
        <f>IF($H20&gt;0,'Calculation Constants'!$B$9*Hydraulics!$K20^2/2/9.81/MAX($F$4:$F$253)*$H20,"")</f>
        <v>6.3421890311175441E-2</v>
      </c>
      <c r="U20" s="19">
        <f t="shared" si="14"/>
        <v>1.0281003984049417</v>
      </c>
      <c r="V20" s="19">
        <f t="shared" si="2"/>
        <v>0</v>
      </c>
      <c r="W20" s="19">
        <f t="shared" si="3"/>
        <v>30.611397609570986</v>
      </c>
      <c r="X20" s="23">
        <f t="shared" si="15"/>
        <v>1105.5013976095711</v>
      </c>
      <c r="Y20" s="22">
        <f>(1/(2*LOG(3.7*$I20/'Calculation Constants'!$B$3*1000)))^2</f>
        <v>9.7303620360708887E-3</v>
      </c>
      <c r="Z20" s="19">
        <f t="shared" si="4"/>
        <v>1.0826630767363397</v>
      </c>
      <c r="AA20" s="19">
        <f>IF($H20&gt;0,'Calculation Constants'!$B$9*Hydraulics!$K20^2/2/9.81/MAX($F$4:$F$253)*$H20,"")</f>
        <v>6.3421890311175441E-2</v>
      </c>
      <c r="AB20" s="19">
        <f t="shared" si="27"/>
        <v>1.1460849670475151</v>
      </c>
      <c r="AC20" s="19">
        <f t="shared" si="5"/>
        <v>0</v>
      </c>
      <c r="AD20" s="19">
        <f t="shared" si="17"/>
        <v>29.903490197714973</v>
      </c>
      <c r="AE20" s="23">
        <f t="shared" si="18"/>
        <v>1104.7934901977151</v>
      </c>
      <c r="AF20" s="27">
        <f>(1/(2*LOG(3.7*$I20/'Calculation Constants'!$B$4*1000)))^2</f>
        <v>1.1458969193927592E-2</v>
      </c>
      <c r="AG20" s="19">
        <f t="shared" si="6"/>
        <v>1.274999100520025</v>
      </c>
      <c r="AH20" s="19">
        <f>IF($H20&gt;0,'Calculation Constants'!$B$9*Hydraulics!$K20^2/2/9.81/MAX($F$4:$F$253)*$H20,"")</f>
        <v>6.3421890311175441E-2</v>
      </c>
      <c r="AI20" s="19">
        <f t="shared" si="19"/>
        <v>1.3384209908312004</v>
      </c>
      <c r="AJ20" s="19">
        <f t="shared" si="7"/>
        <v>0</v>
      </c>
      <c r="AK20" s="19">
        <f t="shared" si="20"/>
        <v>28.749474055012115</v>
      </c>
      <c r="AL20" s="23">
        <f t="shared" si="21"/>
        <v>1103.6394740550122</v>
      </c>
      <c r="AM20" s="22">
        <f>(1/(2*LOG(3.7*($I20-0.008)/'Calculation Constants'!$B$5*1000)))^2</f>
        <v>1.4542845531075887E-2</v>
      </c>
      <c r="AN20" s="19">
        <f t="shared" si="22"/>
        <v>1.6249731396833385</v>
      </c>
      <c r="AO20" s="19">
        <f>IF($H20&gt;0,'Calculation Constants'!$B$9*Hydraulics!$K20^2/2/9.81/MAX($F$4:$F$253)*$H20,"")</f>
        <v>6.3421890311175441E-2</v>
      </c>
      <c r="AP20" s="19">
        <f t="shared" si="23"/>
        <v>1.6883950299945139</v>
      </c>
      <c r="AQ20" s="19">
        <f t="shared" si="8"/>
        <v>0</v>
      </c>
      <c r="AR20" s="19">
        <f t="shared" si="24"/>
        <v>26.649629820032487</v>
      </c>
      <c r="AS20" s="23">
        <f t="shared" si="25"/>
        <v>1101.5396298200326</v>
      </c>
    </row>
    <row r="21" spans="1:45" ht="15.75" thickBot="1">
      <c r="E21" s="35" t="str">
        <f t="shared" si="9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1.9</v>
      </c>
      <c r="J21" s="36">
        <f>'Flow Rate Calculations'!$B$7</f>
        <v>4.0831050228310497</v>
      </c>
      <c r="K21" s="36">
        <f t="shared" si="10"/>
        <v>1.440102709245225</v>
      </c>
      <c r="L21" s="37">
        <f>$I21*$K21/'Calculation Constants'!$B$7</f>
        <v>2421411.6350140949</v>
      </c>
      <c r="M21" s="37">
        <f t="shared" si="11"/>
        <v>40.55600000000004</v>
      </c>
      <c r="N21" s="23">
        <f t="shared" si="12"/>
        <v>33.359297211166222</v>
      </c>
      <c r="O21" s="57">
        <f t="shared" si="0"/>
        <v>40.55600000000004</v>
      </c>
      <c r="P21" s="66">
        <f>MAX(I21*1000/'Calculation Constants'!$B$14,O21*10*I21*1000/2/('Calculation Constants'!$B$12*1000*'Calculation Constants'!$B$13))</f>
        <v>11.875</v>
      </c>
      <c r="Q21" s="68">
        <f t="shared" si="1"/>
        <v>1105894.9783427313</v>
      </c>
      <c r="R21" s="27">
        <f>(1/(2*LOG(3.7*$I21/'Calculation Constants'!$B$2*1000)))^2</f>
        <v>8.6699836115820689E-3</v>
      </c>
      <c r="S21" s="19">
        <f t="shared" si="13"/>
        <v>0.96467850809376621</v>
      </c>
      <c r="T21" s="19">
        <f>IF($H21&gt;0,'Calculation Constants'!$B$9*Hydraulics!$K21^2/2/9.81/MAX($F$4:$F$253)*$H21,"")</f>
        <v>6.3421890311175441E-2</v>
      </c>
      <c r="U21" s="19">
        <f t="shared" si="14"/>
        <v>1.0281003984049417</v>
      </c>
      <c r="V21" s="19">
        <f t="shared" si="2"/>
        <v>0</v>
      </c>
      <c r="W21" s="19">
        <f t="shared" si="3"/>
        <v>33.359297211166222</v>
      </c>
      <c r="X21" s="23">
        <f t="shared" si="15"/>
        <v>1104.4732972111663</v>
      </c>
      <c r="Y21" s="22">
        <f>(1/(2*LOG(3.7*$I21/'Calculation Constants'!$B$3*1000)))^2</f>
        <v>9.7303620360708887E-3</v>
      </c>
      <c r="Z21" s="19">
        <f t="shared" si="4"/>
        <v>1.0826630767363397</v>
      </c>
      <c r="AA21" s="19">
        <f>IF($H21&gt;0,'Calculation Constants'!$B$9*Hydraulics!$K21^2/2/9.81/MAX($F$4:$F$253)*$H21,"")</f>
        <v>6.3421890311175441E-2</v>
      </c>
      <c r="AB21" s="19">
        <f t="shared" si="27"/>
        <v>1.1460849670475151</v>
      </c>
      <c r="AC21" s="19">
        <f t="shared" si="5"/>
        <v>0</v>
      </c>
      <c r="AD21" s="19">
        <f t="shared" si="17"/>
        <v>32.53340523066754</v>
      </c>
      <c r="AE21" s="23">
        <f t="shared" si="18"/>
        <v>1103.6474052306676</v>
      </c>
      <c r="AF21" s="27">
        <f>(1/(2*LOG(3.7*$I21/'Calculation Constants'!$B$4*1000)))^2</f>
        <v>1.1458969193927592E-2</v>
      </c>
      <c r="AG21" s="19">
        <f t="shared" si="6"/>
        <v>1.274999100520025</v>
      </c>
      <c r="AH21" s="19">
        <f>IF($H21&gt;0,'Calculation Constants'!$B$9*Hydraulics!$K21^2/2/9.81/MAX($F$4:$F$253)*$H21,"")</f>
        <v>6.3421890311175441E-2</v>
      </c>
      <c r="AI21" s="19">
        <f t="shared" si="19"/>
        <v>1.3384209908312004</v>
      </c>
      <c r="AJ21" s="19">
        <f t="shared" si="7"/>
        <v>0</v>
      </c>
      <c r="AK21" s="19">
        <f t="shared" si="20"/>
        <v>31.187053064180873</v>
      </c>
      <c r="AL21" s="23">
        <f t="shared" si="21"/>
        <v>1102.3010530641809</v>
      </c>
      <c r="AM21" s="22">
        <f>(1/(2*LOG(3.7*($I21-0.008)/'Calculation Constants'!$B$5*1000)))^2</f>
        <v>1.4542845531075887E-2</v>
      </c>
      <c r="AN21" s="19">
        <f t="shared" si="22"/>
        <v>1.6249731396833385</v>
      </c>
      <c r="AO21" s="19">
        <f>IF($H21&gt;0,'Calculation Constants'!$B$9*Hydraulics!$K21^2/2/9.81/MAX($F$4:$F$253)*$H21,"")</f>
        <v>6.3421890311175441E-2</v>
      </c>
      <c r="AP21" s="19">
        <f t="shared" si="23"/>
        <v>1.6883950299945139</v>
      </c>
      <c r="AQ21" s="19">
        <f t="shared" si="8"/>
        <v>0</v>
      </c>
      <c r="AR21" s="19">
        <f t="shared" si="24"/>
        <v>28.737234790037974</v>
      </c>
      <c r="AS21" s="23">
        <f t="shared" si="25"/>
        <v>1099.851234790038</v>
      </c>
    </row>
    <row r="22" spans="1:45">
      <c r="A22" s="48" t="s">
        <v>35</v>
      </c>
      <c r="B22" s="49" t="s">
        <v>37</v>
      </c>
      <c r="E22" s="35" t="str">
        <f t="shared" si="9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1.9</v>
      </c>
      <c r="J22" s="36">
        <f>'Flow Rate Calculations'!$B$7</f>
        <v>4.0831050228310497</v>
      </c>
      <c r="K22" s="36">
        <f t="shared" si="10"/>
        <v>1.440102709245225</v>
      </c>
      <c r="L22" s="37">
        <f>$I22*$K22/'Calculation Constants'!$B$7</f>
        <v>2421411.6350140949</v>
      </c>
      <c r="M22" s="37">
        <f t="shared" si="11"/>
        <v>46.359000000000151</v>
      </c>
      <c r="N22" s="23">
        <f t="shared" si="12"/>
        <v>38.134196812761502</v>
      </c>
      <c r="O22" s="57">
        <f t="shared" si="0"/>
        <v>46.359000000000151</v>
      </c>
      <c r="P22" s="66">
        <f>MAX(I22*1000/'Calculation Constants'!$B$14,O22*10*I22*1000/2/('Calculation Constants'!$B$12*1000*'Calculation Constants'!$B$13))</f>
        <v>11.875</v>
      </c>
      <c r="Q22" s="68">
        <f t="shared" si="1"/>
        <v>1105894.9783427313</v>
      </c>
      <c r="R22" s="27">
        <f>(1/(2*LOG(3.7*$I22/'Calculation Constants'!$B$2*1000)))^2</f>
        <v>8.6699836115820689E-3</v>
      </c>
      <c r="S22" s="19">
        <f t="shared" si="13"/>
        <v>0.96467850809376621</v>
      </c>
      <c r="T22" s="19">
        <f>IF($H22&gt;0,'Calculation Constants'!$B$9*Hydraulics!$K22^2/2/9.81/MAX($F$4:$F$253)*$H22,"")</f>
        <v>6.3421890311175441E-2</v>
      </c>
      <c r="U22" s="19">
        <f t="shared" si="14"/>
        <v>1.0281003984049417</v>
      </c>
      <c r="V22" s="19">
        <f t="shared" si="2"/>
        <v>0</v>
      </c>
      <c r="W22" s="19">
        <f t="shared" si="3"/>
        <v>38.134196812761502</v>
      </c>
      <c r="X22" s="23">
        <f t="shared" si="15"/>
        <v>1103.4451968127614</v>
      </c>
      <c r="Y22" s="22">
        <f>(1/(2*LOG(3.7*$I22/'Calculation Constants'!$B$3*1000)))^2</f>
        <v>9.7303620360708887E-3</v>
      </c>
      <c r="Z22" s="19">
        <f t="shared" si="4"/>
        <v>1.0826630767363397</v>
      </c>
      <c r="AA22" s="19">
        <f>IF($H22&gt;0,'Calculation Constants'!$B$9*Hydraulics!$K22^2/2/9.81/MAX($F$4:$F$253)*$H22,"")</f>
        <v>6.3421890311175441E-2</v>
      </c>
      <c r="AB22" s="19">
        <f t="shared" si="27"/>
        <v>1.1460849670475151</v>
      </c>
      <c r="AC22" s="19">
        <f t="shared" si="5"/>
        <v>0</v>
      </c>
      <c r="AD22" s="19">
        <f t="shared" si="17"/>
        <v>37.190320263620151</v>
      </c>
      <c r="AE22" s="23">
        <f t="shared" si="18"/>
        <v>1102.5013202636201</v>
      </c>
      <c r="AF22" s="27">
        <f>(1/(2*LOG(3.7*$I22/'Calculation Constants'!$B$4*1000)))^2</f>
        <v>1.1458969193927592E-2</v>
      </c>
      <c r="AG22" s="19">
        <f t="shared" si="6"/>
        <v>1.274999100520025</v>
      </c>
      <c r="AH22" s="19">
        <f>IF($H22&gt;0,'Calculation Constants'!$B$9*Hydraulics!$K22^2/2/9.81/MAX($F$4:$F$253)*$H22,"")</f>
        <v>6.3421890311175441E-2</v>
      </c>
      <c r="AI22" s="19">
        <f t="shared" si="19"/>
        <v>1.3384209908312004</v>
      </c>
      <c r="AJ22" s="19">
        <f t="shared" si="7"/>
        <v>0</v>
      </c>
      <c r="AK22" s="19">
        <f t="shared" si="20"/>
        <v>35.651632073349674</v>
      </c>
      <c r="AL22" s="23">
        <f t="shared" si="21"/>
        <v>1100.9626320733496</v>
      </c>
      <c r="AM22" s="22">
        <f>(1/(2*LOG(3.7*($I22-0.008)/'Calculation Constants'!$B$5*1000)))^2</f>
        <v>1.4542845531075887E-2</v>
      </c>
      <c r="AN22" s="19">
        <f t="shared" si="22"/>
        <v>1.6249731396833385</v>
      </c>
      <c r="AO22" s="19">
        <f>IF($H22&gt;0,'Calculation Constants'!$B$9*Hydraulics!$K22^2/2/9.81/MAX($F$4:$F$253)*$H22,"")</f>
        <v>6.3421890311175441E-2</v>
      </c>
      <c r="AP22" s="19">
        <f t="shared" si="23"/>
        <v>1.6883950299945139</v>
      </c>
      <c r="AQ22" s="19">
        <f t="shared" si="8"/>
        <v>0</v>
      </c>
      <c r="AR22" s="19">
        <f t="shared" si="24"/>
        <v>32.851839760043504</v>
      </c>
      <c r="AS22" s="23">
        <f t="shared" si="25"/>
        <v>1098.1628397600434</v>
      </c>
    </row>
    <row r="23" spans="1:45" ht="15.75" thickBot="1">
      <c r="A23" s="50" t="s">
        <v>38</v>
      </c>
      <c r="B23" s="51" t="s">
        <v>99</v>
      </c>
      <c r="E23" s="35" t="str">
        <f t="shared" si="9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1.9</v>
      </c>
      <c r="J23" s="36">
        <f>'Flow Rate Calculations'!$B$7</f>
        <v>4.0831050228310497</v>
      </c>
      <c r="K23" s="36">
        <f t="shared" si="10"/>
        <v>1.440102709245225</v>
      </c>
      <c r="L23" s="37">
        <f>$I23*$K23/'Calculation Constants'!$B$7</f>
        <v>2421411.6350140949</v>
      </c>
      <c r="M23" s="37">
        <f t="shared" si="11"/>
        <v>52.619000000000142</v>
      </c>
      <c r="N23" s="23">
        <f t="shared" si="12"/>
        <v>43.366096414356662</v>
      </c>
      <c r="O23" s="57">
        <f t="shared" si="0"/>
        <v>52.619000000000142</v>
      </c>
      <c r="P23" s="66">
        <f>MAX(I23*1000/'Calculation Constants'!$B$14,O23*10*I23*1000/2/('Calculation Constants'!$B$12*1000*'Calculation Constants'!$B$13))</f>
        <v>11.875</v>
      </c>
      <c r="Q23" s="68">
        <f t="shared" si="1"/>
        <v>1105894.9783427313</v>
      </c>
      <c r="R23" s="27">
        <f>(1/(2*LOG(3.7*$I23/'Calculation Constants'!$B$2*1000)))^2</f>
        <v>8.6699836115820689E-3</v>
      </c>
      <c r="S23" s="19">
        <f t="shared" si="13"/>
        <v>0.96467850809376621</v>
      </c>
      <c r="T23" s="19">
        <f>IF($H23&gt;0,'Calculation Constants'!$B$9*Hydraulics!$K23^2/2/9.81/MAX($F$4:$F$253)*$H23,"")</f>
        <v>6.3421890311175441E-2</v>
      </c>
      <c r="U23" s="19">
        <f t="shared" si="14"/>
        <v>1.0281003984049417</v>
      </c>
      <c r="V23" s="19">
        <f t="shared" si="2"/>
        <v>0</v>
      </c>
      <c r="W23" s="19">
        <f t="shared" si="3"/>
        <v>43.366096414356662</v>
      </c>
      <c r="X23" s="23">
        <f t="shared" si="15"/>
        <v>1102.4170964143566</v>
      </c>
      <c r="Y23" s="22">
        <f>(1/(2*LOG(3.7*$I23/'Calculation Constants'!$B$3*1000)))^2</f>
        <v>9.7303620360708887E-3</v>
      </c>
      <c r="Z23" s="19">
        <f t="shared" si="4"/>
        <v>1.0826630767363397</v>
      </c>
      <c r="AA23" s="19">
        <f>IF($H23&gt;0,'Calculation Constants'!$B$9*Hydraulics!$K23^2/2/9.81/MAX($F$4:$F$253)*$H23,"")</f>
        <v>6.3421890311175441E-2</v>
      </c>
      <c r="AB23" s="19">
        <f t="shared" si="27"/>
        <v>1.1460849670475151</v>
      </c>
      <c r="AC23" s="19">
        <f t="shared" si="5"/>
        <v>0</v>
      </c>
      <c r="AD23" s="19">
        <f t="shared" si="17"/>
        <v>42.304235296572642</v>
      </c>
      <c r="AE23" s="23">
        <f t="shared" si="18"/>
        <v>1101.3552352965726</v>
      </c>
      <c r="AF23" s="27">
        <f>(1/(2*LOG(3.7*$I23/'Calculation Constants'!$B$4*1000)))^2</f>
        <v>1.1458969193927592E-2</v>
      </c>
      <c r="AG23" s="19">
        <f t="shared" si="6"/>
        <v>1.274999100520025</v>
      </c>
      <c r="AH23" s="19">
        <f>IF($H23&gt;0,'Calculation Constants'!$B$9*Hydraulics!$K23^2/2/9.81/MAX($F$4:$F$253)*$H23,"")</f>
        <v>6.3421890311175441E-2</v>
      </c>
      <c r="AI23" s="19">
        <f t="shared" si="19"/>
        <v>1.3384209908312004</v>
      </c>
      <c r="AJ23" s="19">
        <f t="shared" si="7"/>
        <v>0</v>
      </c>
      <c r="AK23" s="19">
        <f t="shared" si="20"/>
        <v>40.573211082518355</v>
      </c>
      <c r="AL23" s="23">
        <f t="shared" si="21"/>
        <v>1099.6242110825183</v>
      </c>
      <c r="AM23" s="22">
        <f>(1/(2*LOG(3.7*($I23-0.008)/'Calculation Constants'!$B$5*1000)))^2</f>
        <v>1.4542845531075887E-2</v>
      </c>
      <c r="AN23" s="19">
        <f t="shared" si="22"/>
        <v>1.6249731396833385</v>
      </c>
      <c r="AO23" s="19">
        <f>IF($H23&gt;0,'Calculation Constants'!$B$9*Hydraulics!$K23^2/2/9.81/MAX($F$4:$F$253)*$H23,"")</f>
        <v>6.3421890311175441E-2</v>
      </c>
      <c r="AP23" s="19">
        <f t="shared" si="23"/>
        <v>1.6883950299945139</v>
      </c>
      <c r="AQ23" s="19">
        <f t="shared" si="8"/>
        <v>0</v>
      </c>
      <c r="AR23" s="19">
        <f t="shared" si="24"/>
        <v>37.423444730048914</v>
      </c>
      <c r="AS23" s="23">
        <f t="shared" si="25"/>
        <v>1096.4744447300488</v>
      </c>
    </row>
    <row r="24" spans="1:45">
      <c r="E24" s="35" t="str">
        <f t="shared" si="9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1.9</v>
      </c>
      <c r="J24" s="36">
        <f>'Flow Rate Calculations'!$B$7</f>
        <v>4.0831050228310497</v>
      </c>
      <c r="K24" s="36">
        <f t="shared" si="10"/>
        <v>1.440102709245225</v>
      </c>
      <c r="L24" s="37">
        <f>$I24*$K24/'Calculation Constants'!$B$7</f>
        <v>2421411.6350140949</v>
      </c>
      <c r="M24" s="37">
        <f t="shared" si="11"/>
        <v>57.3900000000001</v>
      </c>
      <c r="N24" s="23">
        <f t="shared" si="12"/>
        <v>47.108996015951789</v>
      </c>
      <c r="O24" s="57">
        <f t="shared" si="0"/>
        <v>57.3900000000001</v>
      </c>
      <c r="P24" s="66">
        <f>MAX(I24*1000/'Calculation Constants'!$B$14,O24*10*I24*1000/2/('Calculation Constants'!$B$12*1000*'Calculation Constants'!$B$13))</f>
        <v>11.875</v>
      </c>
      <c r="Q24" s="68">
        <f t="shared" si="1"/>
        <v>1105894.9783427313</v>
      </c>
      <c r="R24" s="27">
        <f>(1/(2*LOG(3.7*$I24/'Calculation Constants'!$B$2*1000)))^2</f>
        <v>8.6699836115820689E-3</v>
      </c>
      <c r="S24" s="19">
        <f t="shared" si="13"/>
        <v>0.96467850809376621</v>
      </c>
      <c r="T24" s="19">
        <f>IF($H24&gt;0,'Calculation Constants'!$B$9*Hydraulics!$K24^2/2/9.81/MAX($F$4:$F$253)*$H24,"")</f>
        <v>6.3421890311175441E-2</v>
      </c>
      <c r="U24" s="19">
        <f t="shared" si="14"/>
        <v>1.0281003984049417</v>
      </c>
      <c r="V24" s="19">
        <f t="shared" si="2"/>
        <v>0</v>
      </c>
      <c r="W24" s="19">
        <f t="shared" si="3"/>
        <v>47.108996015951789</v>
      </c>
      <c r="X24" s="23">
        <f t="shared" si="15"/>
        <v>1101.3889960159518</v>
      </c>
      <c r="Y24" s="22">
        <f>(1/(2*LOG(3.7*$I24/'Calculation Constants'!$B$3*1000)))^2</f>
        <v>9.7303620360708887E-3</v>
      </c>
      <c r="Z24" s="19">
        <f t="shared" si="4"/>
        <v>1.0826630767363397</v>
      </c>
      <c r="AA24" s="19">
        <f>IF($H24&gt;0,'Calculation Constants'!$B$9*Hydraulics!$K24^2/2/9.81/MAX($F$4:$F$253)*$H24,"")</f>
        <v>6.3421890311175441E-2</v>
      </c>
      <c r="AB24" s="19">
        <f t="shared" si="27"/>
        <v>1.1460849670475151</v>
      </c>
      <c r="AC24" s="19">
        <f t="shared" si="5"/>
        <v>0</v>
      </c>
      <c r="AD24" s="19">
        <f t="shared" si="17"/>
        <v>45.9291503295251</v>
      </c>
      <c r="AE24" s="23">
        <f t="shared" si="18"/>
        <v>1100.2091503295251</v>
      </c>
      <c r="AF24" s="27">
        <f>(1/(2*LOG(3.7*$I24/'Calculation Constants'!$B$4*1000)))^2</f>
        <v>1.1458969193927592E-2</v>
      </c>
      <c r="AG24" s="19">
        <f t="shared" si="6"/>
        <v>1.274999100520025</v>
      </c>
      <c r="AH24" s="19">
        <f>IF($H24&gt;0,'Calculation Constants'!$B$9*Hydraulics!$K24^2/2/9.81/MAX($F$4:$F$253)*$H24,"")</f>
        <v>6.3421890311175441E-2</v>
      </c>
      <c r="AI24" s="19">
        <f t="shared" si="19"/>
        <v>1.3384209908312004</v>
      </c>
      <c r="AJ24" s="19">
        <f t="shared" si="7"/>
        <v>0</v>
      </c>
      <c r="AK24" s="19">
        <f t="shared" si="20"/>
        <v>44.005790091687004</v>
      </c>
      <c r="AL24" s="23">
        <f t="shared" si="21"/>
        <v>1098.285790091687</v>
      </c>
      <c r="AM24" s="22">
        <f>(1/(2*LOG(3.7*($I24-0.008)/'Calculation Constants'!$B$5*1000)))^2</f>
        <v>1.4542845531075887E-2</v>
      </c>
      <c r="AN24" s="19">
        <f t="shared" si="22"/>
        <v>1.6249731396833385</v>
      </c>
      <c r="AO24" s="19">
        <f>IF($H24&gt;0,'Calculation Constants'!$B$9*Hydraulics!$K24^2/2/9.81/MAX($F$4:$F$253)*$H24,"")</f>
        <v>6.3421890311175441E-2</v>
      </c>
      <c r="AP24" s="19">
        <f t="shared" si="23"/>
        <v>1.6883950299945139</v>
      </c>
      <c r="AQ24" s="19">
        <f t="shared" si="8"/>
        <v>0</v>
      </c>
      <c r="AR24" s="19">
        <f t="shared" si="24"/>
        <v>40.506049700054291</v>
      </c>
      <c r="AS24" s="23">
        <f t="shared" si="25"/>
        <v>1094.7860497000543</v>
      </c>
    </row>
    <row r="25" spans="1:45">
      <c r="E25" s="35" t="str">
        <f t="shared" si="9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1.9</v>
      </c>
      <c r="J25" s="36">
        <f>'Flow Rate Calculations'!$B$7</f>
        <v>4.0831050228310497</v>
      </c>
      <c r="K25" s="36">
        <f t="shared" si="10"/>
        <v>1.440102709245225</v>
      </c>
      <c r="L25" s="37">
        <f>$I25*$K25/'Calculation Constants'!$B$7</f>
        <v>2421411.6350140949</v>
      </c>
      <c r="M25" s="37">
        <f t="shared" si="11"/>
        <v>57.798999999999978</v>
      </c>
      <c r="N25" s="23">
        <f t="shared" si="12"/>
        <v>46.489895617546836</v>
      </c>
      <c r="O25" s="57">
        <f t="shared" si="0"/>
        <v>57.798999999999978</v>
      </c>
      <c r="P25" s="66">
        <f>MAX(I25*1000/'Calculation Constants'!$B$14,O25*10*I25*1000/2/('Calculation Constants'!$B$12*1000*'Calculation Constants'!$B$13))</f>
        <v>11.875</v>
      </c>
      <c r="Q25" s="68">
        <f t="shared" si="1"/>
        <v>1105894.9783427313</v>
      </c>
      <c r="R25" s="27">
        <f>(1/(2*LOG(3.7*$I25/'Calculation Constants'!$B$2*1000)))^2</f>
        <v>8.6699836115820689E-3</v>
      </c>
      <c r="S25" s="19">
        <f t="shared" si="13"/>
        <v>0.96467850809376621</v>
      </c>
      <c r="T25" s="19">
        <f>IF($H25&gt;0,'Calculation Constants'!$B$9*Hydraulics!$K25^2/2/9.81/MAX($F$4:$F$253)*$H25,"")</f>
        <v>6.3421890311175441E-2</v>
      </c>
      <c r="U25" s="19">
        <f t="shared" si="14"/>
        <v>1.0281003984049417</v>
      </c>
      <c r="V25" s="19">
        <f t="shared" si="2"/>
        <v>0</v>
      </c>
      <c r="W25" s="19">
        <f t="shared" si="3"/>
        <v>46.489895617546836</v>
      </c>
      <c r="X25" s="23">
        <f t="shared" si="15"/>
        <v>1100.3608956175469</v>
      </c>
      <c r="Y25" s="22">
        <f>(1/(2*LOG(3.7*$I25/'Calculation Constants'!$B$3*1000)))^2</f>
        <v>9.7303620360708887E-3</v>
      </c>
      <c r="Z25" s="19">
        <f t="shared" si="4"/>
        <v>1.0826630767363397</v>
      </c>
      <c r="AA25" s="19">
        <f>IF($H25&gt;0,'Calculation Constants'!$B$9*Hydraulics!$K25^2/2/9.81/MAX($F$4:$F$253)*$H25,"")</f>
        <v>6.3421890311175441E-2</v>
      </c>
      <c r="AB25" s="19">
        <f t="shared" si="27"/>
        <v>1.1460849670475151</v>
      </c>
      <c r="AC25" s="19">
        <f t="shared" si="5"/>
        <v>0</v>
      </c>
      <c r="AD25" s="19">
        <f t="shared" si="17"/>
        <v>45.192065362477479</v>
      </c>
      <c r="AE25" s="23">
        <f t="shared" si="18"/>
        <v>1099.0630653624776</v>
      </c>
      <c r="AF25" s="27">
        <f>(1/(2*LOG(3.7*$I25/'Calculation Constants'!$B$4*1000)))^2</f>
        <v>1.1458969193927592E-2</v>
      </c>
      <c r="AG25" s="19">
        <f t="shared" si="6"/>
        <v>1.274999100520025</v>
      </c>
      <c r="AH25" s="19">
        <f>IF($H25&gt;0,'Calculation Constants'!$B$9*Hydraulics!$K25^2/2/9.81/MAX($F$4:$F$253)*$H25,"")</f>
        <v>6.3421890311175441E-2</v>
      </c>
      <c r="AI25" s="19">
        <f t="shared" si="19"/>
        <v>1.3384209908312004</v>
      </c>
      <c r="AJ25" s="19">
        <f t="shared" si="7"/>
        <v>0</v>
      </c>
      <c r="AK25" s="19">
        <f t="shared" si="20"/>
        <v>43.076369100855572</v>
      </c>
      <c r="AL25" s="23">
        <f t="shared" si="21"/>
        <v>1096.9473691008557</v>
      </c>
      <c r="AM25" s="22">
        <f>(1/(2*LOG(3.7*($I25-0.008)/'Calculation Constants'!$B$5*1000)))^2</f>
        <v>1.4542845531075887E-2</v>
      </c>
      <c r="AN25" s="19">
        <f t="shared" si="22"/>
        <v>1.6249731396833385</v>
      </c>
      <c r="AO25" s="19">
        <f>IF($H25&gt;0,'Calculation Constants'!$B$9*Hydraulics!$K25^2/2/9.81/MAX($F$4:$F$253)*$H25,"")</f>
        <v>6.3421890311175441E-2</v>
      </c>
      <c r="AP25" s="19">
        <f t="shared" si="23"/>
        <v>1.6883950299945139</v>
      </c>
      <c r="AQ25" s="19">
        <f t="shared" si="8"/>
        <v>0</v>
      </c>
      <c r="AR25" s="19">
        <f t="shared" si="24"/>
        <v>39.226654670059588</v>
      </c>
      <c r="AS25" s="23">
        <f t="shared" si="25"/>
        <v>1093.0976546700597</v>
      </c>
    </row>
    <row r="26" spans="1:45">
      <c r="E26" s="35" t="str">
        <f t="shared" si="9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1.9</v>
      </c>
      <c r="J26" s="36">
        <f>'Flow Rate Calculations'!$B$7</f>
        <v>4.0831050228310497</v>
      </c>
      <c r="K26" s="36">
        <f t="shared" si="10"/>
        <v>1.440102709245225</v>
      </c>
      <c r="L26" s="37">
        <f>$I26*$K26/'Calculation Constants'!$B$7</f>
        <v>2421411.6350140949</v>
      </c>
      <c r="M26" s="37">
        <f t="shared" si="11"/>
        <v>61.25</v>
      </c>
      <c r="N26" s="23">
        <f t="shared" si="12"/>
        <v>48.912795219142026</v>
      </c>
      <c r="O26" s="57">
        <f t="shared" si="0"/>
        <v>61.25</v>
      </c>
      <c r="P26" s="66">
        <f>MAX(I26*1000/'Calculation Constants'!$B$14,O26*10*I26*1000/2/('Calculation Constants'!$B$12*1000*'Calculation Constants'!$B$13))</f>
        <v>11.875</v>
      </c>
      <c r="Q26" s="68">
        <f t="shared" si="1"/>
        <v>1105894.9783427313</v>
      </c>
      <c r="R26" s="27">
        <f>(1/(2*LOG(3.7*$I26/'Calculation Constants'!$B$2*1000)))^2</f>
        <v>8.6699836115820689E-3</v>
      </c>
      <c r="S26" s="19">
        <f t="shared" si="13"/>
        <v>0.96467850809376621</v>
      </c>
      <c r="T26" s="19">
        <f>IF($H26&gt;0,'Calculation Constants'!$B$9*Hydraulics!$K26^2/2/9.81/MAX($F$4:$F$253)*$H26,"")</f>
        <v>6.3421890311175441E-2</v>
      </c>
      <c r="U26" s="19">
        <f t="shared" si="14"/>
        <v>1.0281003984049417</v>
      </c>
      <c r="V26" s="19">
        <f t="shared" si="2"/>
        <v>0</v>
      </c>
      <c r="W26" s="19">
        <f t="shared" si="3"/>
        <v>48.912795219142026</v>
      </c>
      <c r="X26" s="23">
        <f t="shared" si="15"/>
        <v>1099.3327952191421</v>
      </c>
      <c r="Y26" s="22">
        <f>(1/(2*LOG(3.7*$I26/'Calculation Constants'!$B$3*1000)))^2</f>
        <v>9.7303620360708887E-3</v>
      </c>
      <c r="Z26" s="19">
        <f t="shared" si="4"/>
        <v>1.0826630767363397</v>
      </c>
      <c r="AA26" s="19">
        <f>IF($H26&gt;0,'Calculation Constants'!$B$9*Hydraulics!$K26^2/2/9.81/MAX($F$4:$F$253)*$H26,"")</f>
        <v>6.3421890311175441E-2</v>
      </c>
      <c r="AB26" s="19">
        <f t="shared" si="27"/>
        <v>1.1460849670475151</v>
      </c>
      <c r="AC26" s="19">
        <f t="shared" si="5"/>
        <v>0</v>
      </c>
      <c r="AD26" s="19">
        <f t="shared" si="17"/>
        <v>47.49698039543</v>
      </c>
      <c r="AE26" s="23">
        <f t="shared" si="18"/>
        <v>1097.9169803954301</v>
      </c>
      <c r="AF26" s="27">
        <f>(1/(2*LOG(3.7*$I26/'Calculation Constants'!$B$4*1000)))^2</f>
        <v>1.1458969193927592E-2</v>
      </c>
      <c r="AG26" s="19">
        <f t="shared" si="6"/>
        <v>1.274999100520025</v>
      </c>
      <c r="AH26" s="19">
        <f>IF($H26&gt;0,'Calculation Constants'!$B$9*Hydraulics!$K26^2/2/9.81/MAX($F$4:$F$253)*$H26,"")</f>
        <v>6.3421890311175441E-2</v>
      </c>
      <c r="AI26" s="19">
        <f t="shared" si="19"/>
        <v>1.3384209908312004</v>
      </c>
      <c r="AJ26" s="19">
        <f t="shared" si="7"/>
        <v>0</v>
      </c>
      <c r="AK26" s="19">
        <f t="shared" si="20"/>
        <v>45.188948110024285</v>
      </c>
      <c r="AL26" s="23">
        <f t="shared" si="21"/>
        <v>1095.6089481100244</v>
      </c>
      <c r="AM26" s="22">
        <f>(1/(2*LOG(3.7*($I26-0.008)/'Calculation Constants'!$B$5*1000)))^2</f>
        <v>1.4542845531075887E-2</v>
      </c>
      <c r="AN26" s="19">
        <f t="shared" si="22"/>
        <v>1.6249731396833385</v>
      </c>
      <c r="AO26" s="19">
        <f>IF($H26&gt;0,'Calculation Constants'!$B$9*Hydraulics!$K26^2/2/9.81/MAX($F$4:$F$253)*$H26,"")</f>
        <v>6.3421890311175441E-2</v>
      </c>
      <c r="AP26" s="19">
        <f t="shared" si="23"/>
        <v>1.6883950299945139</v>
      </c>
      <c r="AQ26" s="19">
        <f t="shared" si="8"/>
        <v>0</v>
      </c>
      <c r="AR26" s="19">
        <f t="shared" si="24"/>
        <v>40.989259640065029</v>
      </c>
      <c r="AS26" s="23">
        <f t="shared" si="25"/>
        <v>1091.4092596400651</v>
      </c>
    </row>
    <row r="27" spans="1:45">
      <c r="E27" s="35" t="str">
        <f t="shared" si="9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1.9</v>
      </c>
      <c r="J27" s="36">
        <f>'Flow Rate Calculations'!$B$7</f>
        <v>4.0831050228310497</v>
      </c>
      <c r="K27" s="36">
        <f t="shared" si="10"/>
        <v>1.440102709245225</v>
      </c>
      <c r="L27" s="37">
        <f>$I27*$K27/'Calculation Constants'!$B$7</f>
        <v>2421411.6350140949</v>
      </c>
      <c r="M27" s="37">
        <f t="shared" si="11"/>
        <v>58.966000000000122</v>
      </c>
      <c r="N27" s="23">
        <f t="shared" si="12"/>
        <v>45.600694820737317</v>
      </c>
      <c r="O27" s="57">
        <f t="shared" si="0"/>
        <v>58.966000000000122</v>
      </c>
      <c r="P27" s="66">
        <f>MAX(I27*1000/'Calculation Constants'!$B$14,O27*10*I27*1000/2/('Calculation Constants'!$B$12*1000*'Calculation Constants'!$B$13))</f>
        <v>11.875</v>
      </c>
      <c r="Q27" s="68">
        <f t="shared" si="1"/>
        <v>1105894.9783427313</v>
      </c>
      <c r="R27" s="27">
        <f>(1/(2*LOG(3.7*$I27/'Calculation Constants'!$B$2*1000)))^2</f>
        <v>8.6699836115820689E-3</v>
      </c>
      <c r="S27" s="19">
        <f t="shared" si="13"/>
        <v>0.96467850809376621</v>
      </c>
      <c r="T27" s="19">
        <f>IF($H27&gt;0,'Calculation Constants'!$B$9*Hydraulics!$K27^2/2/9.81/MAX($F$4:$F$253)*$H27,"")</f>
        <v>6.3421890311175441E-2</v>
      </c>
      <c r="U27" s="19">
        <f t="shared" si="14"/>
        <v>1.0281003984049417</v>
      </c>
      <c r="V27" s="19">
        <f t="shared" si="2"/>
        <v>0</v>
      </c>
      <c r="W27" s="19">
        <f t="shared" si="3"/>
        <v>45.600694820737317</v>
      </c>
      <c r="X27" s="23">
        <f t="shared" si="15"/>
        <v>1098.3046948207373</v>
      </c>
      <c r="Y27" s="22">
        <f>(1/(2*LOG(3.7*$I27/'Calculation Constants'!$B$3*1000)))^2</f>
        <v>9.7303620360708887E-3</v>
      </c>
      <c r="Z27" s="19">
        <f t="shared" si="4"/>
        <v>1.0826630767363397</v>
      </c>
      <c r="AA27" s="19">
        <f>IF($H27&gt;0,'Calculation Constants'!$B$9*Hydraulics!$K27^2/2/9.81/MAX($F$4:$F$253)*$H27,"")</f>
        <v>6.3421890311175441E-2</v>
      </c>
      <c r="AB27" s="19">
        <f t="shared" si="27"/>
        <v>1.1460849670475151</v>
      </c>
      <c r="AC27" s="19">
        <f t="shared" si="5"/>
        <v>0</v>
      </c>
      <c r="AD27" s="19">
        <f t="shared" si="17"/>
        <v>44.066895428382622</v>
      </c>
      <c r="AE27" s="23">
        <f t="shared" si="18"/>
        <v>1096.7708954283826</v>
      </c>
      <c r="AF27" s="27">
        <f>(1/(2*LOG(3.7*$I27/'Calculation Constants'!$B$4*1000)))^2</f>
        <v>1.1458969193927592E-2</v>
      </c>
      <c r="AG27" s="19">
        <f t="shared" si="6"/>
        <v>1.274999100520025</v>
      </c>
      <c r="AH27" s="19">
        <f>IF($H27&gt;0,'Calculation Constants'!$B$9*Hydraulics!$K27^2/2/9.81/MAX($F$4:$F$253)*$H27,"")</f>
        <v>6.3421890311175441E-2</v>
      </c>
      <c r="AI27" s="19">
        <f t="shared" si="19"/>
        <v>1.3384209908312004</v>
      </c>
      <c r="AJ27" s="19">
        <f t="shared" si="7"/>
        <v>0</v>
      </c>
      <c r="AK27" s="19">
        <f t="shared" si="20"/>
        <v>41.566527119193097</v>
      </c>
      <c r="AL27" s="23">
        <f t="shared" si="21"/>
        <v>1094.270527119193</v>
      </c>
      <c r="AM27" s="22">
        <f>(1/(2*LOG(3.7*($I27-0.008)/'Calculation Constants'!$B$5*1000)))^2</f>
        <v>1.4542845531075887E-2</v>
      </c>
      <c r="AN27" s="19">
        <f t="shared" si="22"/>
        <v>1.6249731396833385</v>
      </c>
      <c r="AO27" s="19">
        <f>IF($H27&gt;0,'Calculation Constants'!$B$9*Hydraulics!$K27^2/2/9.81/MAX($F$4:$F$253)*$H27,"")</f>
        <v>6.3421890311175441E-2</v>
      </c>
      <c r="AP27" s="19">
        <f t="shared" si="23"/>
        <v>1.6883950299945139</v>
      </c>
      <c r="AQ27" s="19">
        <f t="shared" si="8"/>
        <v>0</v>
      </c>
      <c r="AR27" s="19">
        <f t="shared" si="24"/>
        <v>37.01686461007057</v>
      </c>
      <c r="AS27" s="23">
        <f t="shared" si="25"/>
        <v>1089.7208646100705</v>
      </c>
    </row>
    <row r="28" spans="1:45" ht="18.75">
      <c r="A28" s="55"/>
      <c r="E28" s="35" t="str">
        <f t="shared" si="9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1.9</v>
      </c>
      <c r="J28" s="36">
        <f>'Flow Rate Calculations'!$B$7</f>
        <v>4.0831050228310497</v>
      </c>
      <c r="K28" s="36">
        <f t="shared" si="10"/>
        <v>1.440102709245225</v>
      </c>
      <c r="L28" s="37">
        <f>$I28*$K28/'Calculation Constants'!$B$7</f>
        <v>2421411.6350140949</v>
      </c>
      <c r="M28" s="37">
        <f t="shared" si="11"/>
        <v>55.315000000000055</v>
      </c>
      <c r="N28" s="23">
        <f t="shared" si="12"/>
        <v>40.921594422332419</v>
      </c>
      <c r="O28" s="57">
        <f t="shared" si="0"/>
        <v>55.315000000000055</v>
      </c>
      <c r="P28" s="66">
        <f>MAX(I28*1000/'Calculation Constants'!$B$14,O28*10*I28*1000/2/('Calculation Constants'!$B$12*1000*'Calculation Constants'!$B$13))</f>
        <v>11.875</v>
      </c>
      <c r="Q28" s="68">
        <f t="shared" si="1"/>
        <v>1105894.9783427313</v>
      </c>
      <c r="R28" s="27">
        <f>(1/(2*LOG(3.7*$I28/'Calculation Constants'!$B$2*1000)))^2</f>
        <v>8.6699836115820689E-3</v>
      </c>
      <c r="S28" s="19">
        <f t="shared" si="13"/>
        <v>0.96467850809376621</v>
      </c>
      <c r="T28" s="19">
        <f>IF($H28&gt;0,'Calculation Constants'!$B$9*Hydraulics!$K28^2/2/9.81/MAX($F$4:$F$253)*$H28,"")</f>
        <v>6.3421890311175441E-2</v>
      </c>
      <c r="U28" s="19">
        <f t="shared" si="14"/>
        <v>1.0281003984049417</v>
      </c>
      <c r="V28" s="19">
        <f t="shared" si="2"/>
        <v>0</v>
      </c>
      <c r="W28" s="19">
        <f t="shared" si="3"/>
        <v>40.921594422332419</v>
      </c>
      <c r="X28" s="23">
        <f t="shared" si="15"/>
        <v>1097.2765944223324</v>
      </c>
      <c r="Y28" s="22">
        <f>(1/(2*LOG(3.7*$I28/'Calculation Constants'!$B$3*1000)))^2</f>
        <v>9.7303620360708887E-3</v>
      </c>
      <c r="Z28" s="19">
        <f t="shared" si="4"/>
        <v>1.0826630767363397</v>
      </c>
      <c r="AA28" s="19">
        <f>IF($H28&gt;0,'Calculation Constants'!$B$9*Hydraulics!$K28^2/2/9.81/MAX($F$4:$F$253)*$H28,"")</f>
        <v>6.3421890311175441E-2</v>
      </c>
      <c r="AB28" s="19">
        <f t="shared" si="27"/>
        <v>1.1460849670475151</v>
      </c>
      <c r="AC28" s="19">
        <f t="shared" si="5"/>
        <v>0</v>
      </c>
      <c r="AD28" s="19">
        <f t="shared" si="17"/>
        <v>39.269810461335055</v>
      </c>
      <c r="AE28" s="23">
        <f t="shared" si="18"/>
        <v>1095.6248104613351</v>
      </c>
      <c r="AF28" s="27">
        <f>(1/(2*LOG(3.7*$I28/'Calculation Constants'!$B$4*1000)))^2</f>
        <v>1.1458969193927592E-2</v>
      </c>
      <c r="AG28" s="19">
        <f t="shared" si="6"/>
        <v>1.274999100520025</v>
      </c>
      <c r="AH28" s="19">
        <f>IF($H28&gt;0,'Calculation Constants'!$B$9*Hydraulics!$K28^2/2/9.81/MAX($F$4:$F$253)*$H28,"")</f>
        <v>6.3421890311175441E-2</v>
      </c>
      <c r="AI28" s="19">
        <f t="shared" si="19"/>
        <v>1.3384209908312004</v>
      </c>
      <c r="AJ28" s="19">
        <f t="shared" si="7"/>
        <v>0</v>
      </c>
      <c r="AK28" s="19">
        <f t="shared" si="20"/>
        <v>36.57710612836172</v>
      </c>
      <c r="AL28" s="23">
        <f t="shared" si="21"/>
        <v>1092.9321061283617</v>
      </c>
      <c r="AM28" s="22">
        <f>(1/(2*LOG(3.7*($I28-0.008)/'Calculation Constants'!$B$5*1000)))^2</f>
        <v>1.4542845531075887E-2</v>
      </c>
      <c r="AN28" s="19">
        <f t="shared" si="22"/>
        <v>1.6249731396833385</v>
      </c>
      <c r="AO28" s="19">
        <f>IF($H28&gt;0,'Calculation Constants'!$B$9*Hydraulics!$K28^2/2/9.81/MAX($F$4:$F$253)*$H28,"")</f>
        <v>6.3421890311175441E-2</v>
      </c>
      <c r="AP28" s="19">
        <f t="shared" si="23"/>
        <v>1.6883950299945139</v>
      </c>
      <c r="AQ28" s="19">
        <f t="shared" si="8"/>
        <v>0</v>
      </c>
      <c r="AR28" s="19">
        <f t="shared" si="24"/>
        <v>31.677469580075922</v>
      </c>
      <c r="AS28" s="23">
        <f t="shared" si="25"/>
        <v>1088.0324695800759</v>
      </c>
    </row>
    <row r="29" spans="1:45" ht="18.75">
      <c r="A29" s="55"/>
      <c r="E29" s="35" t="str">
        <f t="shared" si="9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1.9</v>
      </c>
      <c r="J29" s="36">
        <f>'Flow Rate Calculations'!$B$7</f>
        <v>4.0831050228310497</v>
      </c>
      <c r="K29" s="36">
        <f t="shared" si="10"/>
        <v>1.440102709245225</v>
      </c>
      <c r="L29" s="37">
        <f>$I29*$K29/'Calculation Constants'!$B$7</f>
        <v>2421411.6350140949</v>
      </c>
      <c r="M29" s="37">
        <f t="shared" si="11"/>
        <v>53.204000000000178</v>
      </c>
      <c r="N29" s="23">
        <f t="shared" si="12"/>
        <v>37.782494023927711</v>
      </c>
      <c r="O29" s="57">
        <f t="shared" si="0"/>
        <v>53.204000000000178</v>
      </c>
      <c r="P29" s="66">
        <f>MAX(I29*1000/'Calculation Constants'!$B$14,O29*10*I29*1000/2/('Calculation Constants'!$B$12*1000*'Calculation Constants'!$B$13))</f>
        <v>11.875</v>
      </c>
      <c r="Q29" s="68">
        <f t="shared" si="1"/>
        <v>1105894.9783427313</v>
      </c>
      <c r="R29" s="27">
        <f>(1/(2*LOG(3.7*$I29/'Calculation Constants'!$B$2*1000)))^2</f>
        <v>8.6699836115820689E-3</v>
      </c>
      <c r="S29" s="19">
        <f t="shared" si="13"/>
        <v>0.96467850809376621</v>
      </c>
      <c r="T29" s="19">
        <f>IF($H29&gt;0,'Calculation Constants'!$B$9*Hydraulics!$K29^2/2/9.81/MAX($F$4:$F$253)*$H29,"")</f>
        <v>6.3421890311175441E-2</v>
      </c>
      <c r="U29" s="19">
        <f t="shared" si="14"/>
        <v>1.0281003984049417</v>
      </c>
      <c r="V29" s="19">
        <f t="shared" si="2"/>
        <v>0</v>
      </c>
      <c r="W29" s="19">
        <f t="shared" si="3"/>
        <v>37.782494023927711</v>
      </c>
      <c r="X29" s="23">
        <f t="shared" si="15"/>
        <v>1096.2484940239276</v>
      </c>
      <c r="Y29" s="22">
        <f>(1/(2*LOG(3.7*$I29/'Calculation Constants'!$B$3*1000)))^2</f>
        <v>9.7303620360708887E-3</v>
      </c>
      <c r="Z29" s="19">
        <f t="shared" si="4"/>
        <v>1.0826630767363397</v>
      </c>
      <c r="AA29" s="19">
        <f>IF($H29&gt;0,'Calculation Constants'!$B$9*Hydraulics!$K29^2/2/9.81/MAX($F$4:$F$253)*$H29,"")</f>
        <v>6.3421890311175441E-2</v>
      </c>
      <c r="AB29" s="19">
        <f t="shared" si="27"/>
        <v>1.1460849670475151</v>
      </c>
      <c r="AC29" s="19">
        <f t="shared" si="5"/>
        <v>0</v>
      </c>
      <c r="AD29" s="19">
        <f t="shared" si="17"/>
        <v>36.012725494287679</v>
      </c>
      <c r="AE29" s="23">
        <f t="shared" si="18"/>
        <v>1094.4787254942876</v>
      </c>
      <c r="AF29" s="27">
        <f>(1/(2*LOG(3.7*$I29/'Calculation Constants'!$B$4*1000)))^2</f>
        <v>1.1458969193927592E-2</v>
      </c>
      <c r="AG29" s="19">
        <f t="shared" si="6"/>
        <v>1.274999100520025</v>
      </c>
      <c r="AH29" s="19">
        <f>IF($H29&gt;0,'Calculation Constants'!$B$9*Hydraulics!$K29^2/2/9.81/MAX($F$4:$F$253)*$H29,"")</f>
        <v>6.3421890311175441E-2</v>
      </c>
      <c r="AI29" s="19">
        <f t="shared" si="19"/>
        <v>1.3384209908312004</v>
      </c>
      <c r="AJ29" s="19">
        <f t="shared" si="7"/>
        <v>0</v>
      </c>
      <c r="AK29" s="19">
        <f t="shared" si="20"/>
        <v>33.127685137530534</v>
      </c>
      <c r="AL29" s="23">
        <f t="shared" si="21"/>
        <v>1091.5936851375304</v>
      </c>
      <c r="AM29" s="22">
        <f>(1/(2*LOG(3.7*($I29-0.008)/'Calculation Constants'!$B$5*1000)))^2</f>
        <v>1.4542845531075887E-2</v>
      </c>
      <c r="AN29" s="19">
        <f t="shared" si="22"/>
        <v>1.6249731396833385</v>
      </c>
      <c r="AO29" s="19">
        <f>IF($H29&gt;0,'Calculation Constants'!$B$9*Hydraulics!$K29^2/2/9.81/MAX($F$4:$F$253)*$H29,"")</f>
        <v>6.3421890311175441E-2</v>
      </c>
      <c r="AP29" s="19">
        <f t="shared" si="23"/>
        <v>1.6883950299945139</v>
      </c>
      <c r="AQ29" s="19">
        <f t="shared" si="8"/>
        <v>0</v>
      </c>
      <c r="AR29" s="19">
        <f t="shared" si="24"/>
        <v>27.878074550081465</v>
      </c>
      <c r="AS29" s="23">
        <f t="shared" si="25"/>
        <v>1086.3440745500814</v>
      </c>
    </row>
    <row r="30" spans="1:45" ht="18.75">
      <c r="A30" s="55"/>
      <c r="E30" s="35" t="str">
        <f t="shared" si="9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1.9</v>
      </c>
      <c r="J30" s="36">
        <f>'Flow Rate Calculations'!$B$7</f>
        <v>4.0831050228310497</v>
      </c>
      <c r="K30" s="36">
        <f t="shared" si="10"/>
        <v>1.440102709245225</v>
      </c>
      <c r="L30" s="37">
        <f>$I30*$K30/'Calculation Constants'!$B$7</f>
        <v>2421411.6350140949</v>
      </c>
      <c r="M30" s="37">
        <f t="shared" si="11"/>
        <v>55.680000000000064</v>
      </c>
      <c r="N30" s="23">
        <f t="shared" si="12"/>
        <v>39.230393625522765</v>
      </c>
      <c r="O30" s="57">
        <f t="shared" si="0"/>
        <v>55.680000000000064</v>
      </c>
      <c r="P30" s="66">
        <f>MAX(I30*1000/'Calculation Constants'!$B$14,O30*10*I30*1000/2/('Calculation Constants'!$B$12*1000*'Calculation Constants'!$B$13))</f>
        <v>11.875</v>
      </c>
      <c r="Q30" s="68">
        <f t="shared" si="1"/>
        <v>1105894.9783427313</v>
      </c>
      <c r="R30" s="27">
        <f>(1/(2*LOG(3.7*$I30/'Calculation Constants'!$B$2*1000)))^2</f>
        <v>8.6699836115820689E-3</v>
      </c>
      <c r="S30" s="19">
        <f t="shared" si="13"/>
        <v>0.96467850809376621</v>
      </c>
      <c r="T30" s="19">
        <f>IF($H30&gt;0,'Calculation Constants'!$B$9*Hydraulics!$K30^2/2/9.81/MAX($F$4:$F$253)*$H30,"")</f>
        <v>6.3421890311175441E-2</v>
      </c>
      <c r="U30" s="19">
        <f t="shared" si="14"/>
        <v>1.0281003984049417</v>
      </c>
      <c r="V30" s="19">
        <f t="shared" si="2"/>
        <v>0</v>
      </c>
      <c r="W30" s="19">
        <f t="shared" si="3"/>
        <v>39.230393625522765</v>
      </c>
      <c r="X30" s="23">
        <f t="shared" si="15"/>
        <v>1095.2203936255228</v>
      </c>
      <c r="Y30" s="22">
        <f>(1/(2*LOG(3.7*$I30/'Calculation Constants'!$B$3*1000)))^2</f>
        <v>9.7303620360708887E-3</v>
      </c>
      <c r="Z30" s="19">
        <f t="shared" si="4"/>
        <v>1.0826630767363397</v>
      </c>
      <c r="AA30" s="19">
        <f>IF($H30&gt;0,'Calculation Constants'!$B$9*Hydraulics!$K30^2/2/9.81/MAX($F$4:$F$253)*$H30,"")</f>
        <v>6.3421890311175441E-2</v>
      </c>
      <c r="AB30" s="19">
        <f t="shared" si="27"/>
        <v>1.1460849670475151</v>
      </c>
      <c r="AC30" s="19">
        <f t="shared" si="5"/>
        <v>0</v>
      </c>
      <c r="AD30" s="19">
        <f t="shared" si="17"/>
        <v>37.342640527240064</v>
      </c>
      <c r="AE30" s="23">
        <f t="shared" si="18"/>
        <v>1093.3326405272401</v>
      </c>
      <c r="AF30" s="27">
        <f>(1/(2*LOG(3.7*$I30/'Calculation Constants'!$B$4*1000)))^2</f>
        <v>1.1458969193927592E-2</v>
      </c>
      <c r="AG30" s="19">
        <f t="shared" si="6"/>
        <v>1.274999100520025</v>
      </c>
      <c r="AH30" s="19">
        <f>IF($H30&gt;0,'Calculation Constants'!$B$9*Hydraulics!$K30^2/2/9.81/MAX($F$4:$F$253)*$H30,"")</f>
        <v>6.3421890311175441E-2</v>
      </c>
      <c r="AI30" s="19">
        <f t="shared" si="19"/>
        <v>1.3384209908312004</v>
      </c>
      <c r="AJ30" s="19">
        <f t="shared" si="7"/>
        <v>0</v>
      </c>
      <c r="AK30" s="19">
        <f t="shared" si="20"/>
        <v>34.26526414669911</v>
      </c>
      <c r="AL30" s="23">
        <f t="shared" si="21"/>
        <v>1090.2552641466991</v>
      </c>
      <c r="AM30" s="22">
        <f>(1/(2*LOG(3.7*($I30-0.008)/'Calculation Constants'!$B$5*1000)))^2</f>
        <v>1.4542845531075887E-2</v>
      </c>
      <c r="AN30" s="19">
        <f t="shared" si="22"/>
        <v>1.6249731396833385</v>
      </c>
      <c r="AO30" s="19">
        <f>IF($H30&gt;0,'Calculation Constants'!$B$9*Hydraulics!$K30^2/2/9.81/MAX($F$4:$F$253)*$H30,"")</f>
        <v>6.3421890311175441E-2</v>
      </c>
      <c r="AP30" s="19">
        <f t="shared" si="23"/>
        <v>1.6883950299945139</v>
      </c>
      <c r="AQ30" s="19">
        <f t="shared" si="8"/>
        <v>0</v>
      </c>
      <c r="AR30" s="19">
        <f t="shared" si="24"/>
        <v>28.665679520086769</v>
      </c>
      <c r="AS30" s="23">
        <f t="shared" si="25"/>
        <v>1084.6556795200868</v>
      </c>
    </row>
    <row r="31" spans="1:45">
      <c r="E31" s="35" t="str">
        <f t="shared" si="9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1.9</v>
      </c>
      <c r="J31" s="36">
        <f>'Flow Rate Calculations'!$B$7</f>
        <v>4.0831050228310497</v>
      </c>
      <c r="K31" s="36">
        <f t="shared" si="10"/>
        <v>1.440102709245225</v>
      </c>
      <c r="L31" s="37">
        <f>$I31*$K31/'Calculation Constants'!$B$7</f>
        <v>2421411.6350140949</v>
      </c>
      <c r="M31" s="37">
        <f t="shared" si="11"/>
        <v>56.009999999999991</v>
      </c>
      <c r="N31" s="23">
        <f t="shared" si="12"/>
        <v>38.532293227117862</v>
      </c>
      <c r="O31" s="57">
        <f t="shared" si="0"/>
        <v>56.009999999999991</v>
      </c>
      <c r="P31" s="66">
        <f>MAX(I31*1000/'Calculation Constants'!$B$14,O31*10*I31*1000/2/('Calculation Constants'!$B$12*1000*'Calculation Constants'!$B$13))</f>
        <v>11.875</v>
      </c>
      <c r="Q31" s="68">
        <f t="shared" si="1"/>
        <v>1105894.9783427313</v>
      </c>
      <c r="R31" s="27">
        <f>(1/(2*LOG(3.7*$I31/'Calculation Constants'!$B$2*1000)))^2</f>
        <v>8.6699836115820689E-3</v>
      </c>
      <c r="S31" s="19">
        <f t="shared" si="13"/>
        <v>0.96467850809376621</v>
      </c>
      <c r="T31" s="19">
        <f>IF($H31&gt;0,'Calculation Constants'!$B$9*Hydraulics!$K31^2/2/9.81/MAX($F$4:$F$253)*$H31,"")</f>
        <v>6.3421890311175441E-2</v>
      </c>
      <c r="U31" s="19">
        <f t="shared" si="14"/>
        <v>1.0281003984049417</v>
      </c>
      <c r="V31" s="19">
        <f t="shared" si="2"/>
        <v>0</v>
      </c>
      <c r="W31" s="19">
        <f t="shared" si="3"/>
        <v>38.532293227117862</v>
      </c>
      <c r="X31" s="23">
        <f t="shared" si="15"/>
        <v>1094.1922932271179</v>
      </c>
      <c r="Y31" s="22">
        <f>(1/(2*LOG(3.7*$I31/'Calculation Constants'!$B$3*1000)))^2</f>
        <v>9.7303620360708887E-3</v>
      </c>
      <c r="Z31" s="19">
        <f t="shared" si="4"/>
        <v>1.0826630767363397</v>
      </c>
      <c r="AA31" s="19">
        <f>IF($H31&gt;0,'Calculation Constants'!$B$9*Hydraulics!$K31^2/2/9.81/MAX($F$4:$F$253)*$H31,"")</f>
        <v>6.3421890311175441E-2</v>
      </c>
      <c r="AB31" s="19">
        <f t="shared" si="27"/>
        <v>1.1460849670475151</v>
      </c>
      <c r="AC31" s="19">
        <f t="shared" si="5"/>
        <v>0</v>
      </c>
      <c r="AD31" s="19">
        <f t="shared" si="17"/>
        <v>36.526555560192492</v>
      </c>
      <c r="AE31" s="23">
        <f t="shared" si="18"/>
        <v>1092.1865555601926</v>
      </c>
      <c r="AF31" s="27">
        <f>(1/(2*LOG(3.7*$I31/'Calculation Constants'!$B$4*1000)))^2</f>
        <v>1.1458969193927592E-2</v>
      </c>
      <c r="AG31" s="19">
        <f t="shared" si="6"/>
        <v>1.274999100520025</v>
      </c>
      <c r="AH31" s="19">
        <f>IF($H31&gt;0,'Calculation Constants'!$B$9*Hydraulics!$K31^2/2/9.81/MAX($F$4:$F$253)*$H31,"")</f>
        <v>6.3421890311175441E-2</v>
      </c>
      <c r="AI31" s="19">
        <f t="shared" si="19"/>
        <v>1.3384209908312004</v>
      </c>
      <c r="AJ31" s="19">
        <f t="shared" si="7"/>
        <v>0</v>
      </c>
      <c r="AK31" s="19">
        <f t="shared" si="20"/>
        <v>33.256843155867728</v>
      </c>
      <c r="AL31" s="23">
        <f t="shared" si="21"/>
        <v>1088.9168431558678</v>
      </c>
      <c r="AM31" s="22">
        <f>(1/(2*LOG(3.7*($I31-0.008)/'Calculation Constants'!$B$5*1000)))^2</f>
        <v>1.4542845531075887E-2</v>
      </c>
      <c r="AN31" s="19">
        <f t="shared" si="22"/>
        <v>1.6249731396833385</v>
      </c>
      <c r="AO31" s="19">
        <f>IF($H31&gt;0,'Calculation Constants'!$B$9*Hydraulics!$K31^2/2/9.81/MAX($F$4:$F$253)*$H31,"")</f>
        <v>6.3421890311175441E-2</v>
      </c>
      <c r="AP31" s="19">
        <f t="shared" si="23"/>
        <v>1.6883950299945139</v>
      </c>
      <c r="AQ31" s="19">
        <f t="shared" si="8"/>
        <v>0</v>
      </c>
      <c r="AR31" s="19">
        <f t="shared" si="24"/>
        <v>27.307284490092115</v>
      </c>
      <c r="AS31" s="23">
        <f t="shared" si="25"/>
        <v>1082.9672844900922</v>
      </c>
    </row>
    <row r="32" spans="1:45">
      <c r="E32" s="35" t="str">
        <f t="shared" si="9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1.9</v>
      </c>
      <c r="J32" s="36">
        <f>'Flow Rate Calculations'!$B$7</f>
        <v>4.0831050228310497</v>
      </c>
      <c r="K32" s="36">
        <f t="shared" si="10"/>
        <v>1.440102709245225</v>
      </c>
      <c r="L32" s="37">
        <f>$I32*$K32/'Calculation Constants'!$B$7</f>
        <v>2421411.6350140949</v>
      </c>
      <c r="M32" s="37">
        <f t="shared" si="11"/>
        <v>55.266000000000076</v>
      </c>
      <c r="N32" s="23">
        <f t="shared" si="12"/>
        <v>36.760192828713116</v>
      </c>
      <c r="O32" s="57">
        <f t="shared" si="0"/>
        <v>55.266000000000076</v>
      </c>
      <c r="P32" s="66">
        <f>MAX(I32*1000/'Calculation Constants'!$B$14,O32*10*I32*1000/2/('Calculation Constants'!$B$12*1000*'Calculation Constants'!$B$13))</f>
        <v>11.875</v>
      </c>
      <c r="Q32" s="68">
        <f t="shared" si="1"/>
        <v>1105894.9783427313</v>
      </c>
      <c r="R32" s="27">
        <f>(1/(2*LOG(3.7*$I32/'Calculation Constants'!$B$2*1000)))^2</f>
        <v>8.6699836115820689E-3</v>
      </c>
      <c r="S32" s="19">
        <f t="shared" si="13"/>
        <v>0.96467850809376621</v>
      </c>
      <c r="T32" s="19">
        <f>IF($H32&gt;0,'Calculation Constants'!$B$9*Hydraulics!$K32^2/2/9.81/MAX($F$4:$F$253)*$H32,"")</f>
        <v>6.3421890311175441E-2</v>
      </c>
      <c r="U32" s="19">
        <f t="shared" si="14"/>
        <v>1.0281003984049417</v>
      </c>
      <c r="V32" s="19">
        <f t="shared" si="2"/>
        <v>0</v>
      </c>
      <c r="W32" s="19">
        <f t="shared" si="3"/>
        <v>36.760192828713116</v>
      </c>
      <c r="X32" s="23">
        <f t="shared" si="15"/>
        <v>1093.1641928287131</v>
      </c>
      <c r="Y32" s="22">
        <f>(1/(2*LOG(3.7*$I32/'Calculation Constants'!$B$3*1000)))^2</f>
        <v>9.7303620360708887E-3</v>
      </c>
      <c r="Z32" s="19">
        <f t="shared" si="4"/>
        <v>1.0826630767363397</v>
      </c>
      <c r="AA32" s="19">
        <f>IF($H32&gt;0,'Calculation Constants'!$B$9*Hydraulics!$K32^2/2/9.81/MAX($F$4:$F$253)*$H32,"")</f>
        <v>6.3421890311175441E-2</v>
      </c>
      <c r="AB32" s="19">
        <f t="shared" si="27"/>
        <v>1.1460849670475151</v>
      </c>
      <c r="AC32" s="19">
        <f t="shared" si="5"/>
        <v>0</v>
      </c>
      <c r="AD32" s="19">
        <f t="shared" si="17"/>
        <v>34.636470593145077</v>
      </c>
      <c r="AE32" s="23">
        <f t="shared" si="18"/>
        <v>1091.0404705931451</v>
      </c>
      <c r="AF32" s="27">
        <f>(1/(2*LOG(3.7*$I32/'Calculation Constants'!$B$4*1000)))^2</f>
        <v>1.1458969193927592E-2</v>
      </c>
      <c r="AG32" s="19">
        <f t="shared" si="6"/>
        <v>1.274999100520025</v>
      </c>
      <c r="AH32" s="19">
        <f>IF($H32&gt;0,'Calculation Constants'!$B$9*Hydraulics!$K32^2/2/9.81/MAX($F$4:$F$253)*$H32,"")</f>
        <v>6.3421890311175441E-2</v>
      </c>
      <c r="AI32" s="19">
        <f t="shared" si="19"/>
        <v>1.3384209908312004</v>
      </c>
      <c r="AJ32" s="19">
        <f t="shared" si="7"/>
        <v>0</v>
      </c>
      <c r="AK32" s="19">
        <f t="shared" si="20"/>
        <v>31.174422165036503</v>
      </c>
      <c r="AL32" s="23">
        <f t="shared" si="21"/>
        <v>1087.5784221650365</v>
      </c>
      <c r="AM32" s="22">
        <f>(1/(2*LOG(3.7*($I32-0.008)/'Calculation Constants'!$B$5*1000)))^2</f>
        <v>1.4542845531075887E-2</v>
      </c>
      <c r="AN32" s="19">
        <f t="shared" si="22"/>
        <v>1.6249731396833385</v>
      </c>
      <c r="AO32" s="19">
        <f>IF($H32&gt;0,'Calculation Constants'!$B$9*Hydraulics!$K32^2/2/9.81/MAX($F$4:$F$253)*$H32,"")</f>
        <v>6.3421890311175441E-2</v>
      </c>
      <c r="AP32" s="19">
        <f t="shared" si="23"/>
        <v>1.6883950299945139</v>
      </c>
      <c r="AQ32" s="19">
        <f t="shared" si="8"/>
        <v>0</v>
      </c>
      <c r="AR32" s="19">
        <f t="shared" si="24"/>
        <v>24.87488946009762</v>
      </c>
      <c r="AS32" s="23">
        <f t="shared" si="25"/>
        <v>1081.2788894600976</v>
      </c>
    </row>
    <row r="33" spans="5:45">
      <c r="E33" s="35" t="str">
        <f t="shared" si="9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1.9</v>
      </c>
      <c r="J33" s="36">
        <f>'Flow Rate Calculations'!$B$7</f>
        <v>4.0831050228310497</v>
      </c>
      <c r="K33" s="36">
        <f t="shared" si="10"/>
        <v>1.440102709245225</v>
      </c>
      <c r="L33" s="37">
        <f>$I33*$K33/'Calculation Constants'!$B$7</f>
        <v>2421411.6350140949</v>
      </c>
      <c r="M33" s="37">
        <f t="shared" si="11"/>
        <v>54.829000000000178</v>
      </c>
      <c r="N33" s="23">
        <f t="shared" si="12"/>
        <v>35.295092430308387</v>
      </c>
      <c r="O33" s="57">
        <f t="shared" si="0"/>
        <v>54.829000000000178</v>
      </c>
      <c r="P33" s="66">
        <f>MAX(I33*1000/'Calculation Constants'!$B$14,O33*10*I33*1000/2/('Calculation Constants'!$B$12*1000*'Calculation Constants'!$B$13))</f>
        <v>11.875</v>
      </c>
      <c r="Q33" s="68">
        <f t="shared" si="1"/>
        <v>1105894.9783427313</v>
      </c>
      <c r="R33" s="27">
        <f>(1/(2*LOG(3.7*$I33/'Calculation Constants'!$B$2*1000)))^2</f>
        <v>8.6699836115820689E-3</v>
      </c>
      <c r="S33" s="19">
        <f t="shared" si="13"/>
        <v>0.96467850809376621</v>
      </c>
      <c r="T33" s="19">
        <f>IF($H33&gt;0,'Calculation Constants'!$B$9*Hydraulics!$K33^2/2/9.81/MAX($F$4:$F$253)*$H33,"")</f>
        <v>6.3421890311175441E-2</v>
      </c>
      <c r="U33" s="19">
        <f t="shared" si="14"/>
        <v>1.0281003984049417</v>
      </c>
      <c r="V33" s="19">
        <f t="shared" si="2"/>
        <v>0</v>
      </c>
      <c r="W33" s="19">
        <f t="shared" si="3"/>
        <v>35.295092430308387</v>
      </c>
      <c r="X33" s="23">
        <f t="shared" si="15"/>
        <v>1092.1360924303083</v>
      </c>
      <c r="Y33" s="22">
        <f>(1/(2*LOG(3.7*$I33/'Calculation Constants'!$B$3*1000)))^2</f>
        <v>9.7303620360708887E-3</v>
      </c>
      <c r="Z33" s="19">
        <f t="shared" si="4"/>
        <v>1.0826630767363397</v>
      </c>
      <c r="AA33" s="19">
        <f>IF($H33&gt;0,'Calculation Constants'!$B$9*Hydraulics!$K33^2/2/9.81/MAX($F$4:$F$253)*$H33,"")</f>
        <v>6.3421890311175441E-2</v>
      </c>
      <c r="AB33" s="19">
        <f t="shared" si="27"/>
        <v>1.1460849670475151</v>
      </c>
      <c r="AC33" s="19">
        <f t="shared" si="5"/>
        <v>0</v>
      </c>
      <c r="AD33" s="19">
        <f t="shared" si="17"/>
        <v>33.053385626097679</v>
      </c>
      <c r="AE33" s="23">
        <f t="shared" si="18"/>
        <v>1089.8943856260976</v>
      </c>
      <c r="AF33" s="27">
        <f>(1/(2*LOG(3.7*$I33/'Calculation Constants'!$B$4*1000)))^2</f>
        <v>1.1458969193927592E-2</v>
      </c>
      <c r="AG33" s="19">
        <f t="shared" si="6"/>
        <v>1.274999100520025</v>
      </c>
      <c r="AH33" s="19">
        <f>IF($H33&gt;0,'Calculation Constants'!$B$9*Hydraulics!$K33^2/2/9.81/MAX($F$4:$F$253)*$H33,"")</f>
        <v>6.3421890311175441E-2</v>
      </c>
      <c r="AI33" s="19">
        <f t="shared" si="19"/>
        <v>1.3384209908312004</v>
      </c>
      <c r="AJ33" s="19">
        <f t="shared" si="7"/>
        <v>0</v>
      </c>
      <c r="AK33" s="19">
        <f t="shared" si="20"/>
        <v>29.399001174205296</v>
      </c>
      <c r="AL33" s="23">
        <f t="shared" si="21"/>
        <v>1086.2400011742052</v>
      </c>
      <c r="AM33" s="22">
        <f>(1/(2*LOG(3.7*($I33-0.008)/'Calculation Constants'!$B$5*1000)))^2</f>
        <v>1.4542845531075887E-2</v>
      </c>
      <c r="AN33" s="19">
        <f t="shared" si="22"/>
        <v>1.6249731396833385</v>
      </c>
      <c r="AO33" s="19">
        <f>IF($H33&gt;0,'Calculation Constants'!$B$9*Hydraulics!$K33^2/2/9.81/MAX($F$4:$F$253)*$H33,"")</f>
        <v>6.3421890311175441E-2</v>
      </c>
      <c r="AP33" s="19">
        <f t="shared" si="23"/>
        <v>1.6883950299945139</v>
      </c>
      <c r="AQ33" s="19">
        <f t="shared" si="8"/>
        <v>0</v>
      </c>
      <c r="AR33" s="19">
        <f t="shared" si="24"/>
        <v>22.749494430103141</v>
      </c>
      <c r="AS33" s="23">
        <f t="shared" si="25"/>
        <v>1079.590494430103</v>
      </c>
    </row>
    <row r="34" spans="5:45">
      <c r="E34" s="35" t="str">
        <f t="shared" si="9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1.9</v>
      </c>
      <c r="J34" s="36">
        <f>'Flow Rate Calculations'!$B$7</f>
        <v>4.0831050228310497</v>
      </c>
      <c r="K34" s="36">
        <f t="shared" si="10"/>
        <v>1.440102709245225</v>
      </c>
      <c r="L34" s="37">
        <f>$I34*$K34/'Calculation Constants'!$B$7</f>
        <v>2421411.6350140949</v>
      </c>
      <c r="M34" s="37">
        <f t="shared" si="11"/>
        <v>55.29300000000012</v>
      </c>
      <c r="N34" s="23">
        <f t="shared" si="12"/>
        <v>34.730992031903497</v>
      </c>
      <c r="O34" s="57">
        <f t="shared" si="0"/>
        <v>55.29300000000012</v>
      </c>
      <c r="P34" s="66">
        <f>MAX(I34*1000/'Calculation Constants'!$B$14,O34*10*I34*1000/2/('Calculation Constants'!$B$12*1000*'Calculation Constants'!$B$13))</f>
        <v>11.875</v>
      </c>
      <c r="Q34" s="68">
        <f t="shared" si="1"/>
        <v>1105894.9783427313</v>
      </c>
      <c r="R34" s="27">
        <f>(1/(2*LOG(3.7*$I34/'Calculation Constants'!$B$2*1000)))^2</f>
        <v>8.6699836115820689E-3</v>
      </c>
      <c r="S34" s="19">
        <f t="shared" si="13"/>
        <v>0.96467850809376621</v>
      </c>
      <c r="T34" s="19">
        <f>IF($H34&gt;0,'Calculation Constants'!$B$9*Hydraulics!$K34^2/2/9.81/MAX($F$4:$F$253)*$H34,"")</f>
        <v>6.3421890311175441E-2</v>
      </c>
      <c r="U34" s="19">
        <f t="shared" si="14"/>
        <v>1.0281003984049417</v>
      </c>
      <c r="V34" s="19">
        <f t="shared" si="2"/>
        <v>0</v>
      </c>
      <c r="W34" s="19">
        <f t="shared" si="3"/>
        <v>34.730992031903497</v>
      </c>
      <c r="X34" s="23">
        <f t="shared" si="15"/>
        <v>1091.1079920319034</v>
      </c>
      <c r="Y34" s="22">
        <f>(1/(2*LOG(3.7*$I34/'Calculation Constants'!$B$3*1000)))^2</f>
        <v>9.7303620360708887E-3</v>
      </c>
      <c r="Z34" s="19">
        <f t="shared" si="4"/>
        <v>1.0826630767363397</v>
      </c>
      <c r="AA34" s="19">
        <f>IF($H34&gt;0,'Calculation Constants'!$B$9*Hydraulics!$K34^2/2/9.81/MAX($F$4:$F$253)*$H34,"")</f>
        <v>6.3421890311175441E-2</v>
      </c>
      <c r="AB34" s="19">
        <f t="shared" si="27"/>
        <v>1.1460849670475151</v>
      </c>
      <c r="AC34" s="19">
        <f t="shared" si="5"/>
        <v>0</v>
      </c>
      <c r="AD34" s="19">
        <f t="shared" si="17"/>
        <v>32.371300659050121</v>
      </c>
      <c r="AE34" s="23">
        <f t="shared" si="18"/>
        <v>1088.7483006590501</v>
      </c>
      <c r="AF34" s="27">
        <f>(1/(2*LOG(3.7*$I34/'Calculation Constants'!$B$4*1000)))^2</f>
        <v>1.1458969193927592E-2</v>
      </c>
      <c r="AG34" s="19">
        <f t="shared" si="6"/>
        <v>1.274999100520025</v>
      </c>
      <c r="AH34" s="19">
        <f>IF($H34&gt;0,'Calculation Constants'!$B$9*Hydraulics!$K34^2/2/9.81/MAX($F$4:$F$253)*$H34,"")</f>
        <v>6.3421890311175441E-2</v>
      </c>
      <c r="AI34" s="19">
        <f t="shared" si="19"/>
        <v>1.3384209908312004</v>
      </c>
      <c r="AJ34" s="19">
        <f t="shared" si="7"/>
        <v>0</v>
      </c>
      <c r="AK34" s="19">
        <f t="shared" si="20"/>
        <v>28.524580183373928</v>
      </c>
      <c r="AL34" s="23">
        <f t="shared" si="21"/>
        <v>1084.9015801833739</v>
      </c>
      <c r="AM34" s="22">
        <f>(1/(2*LOG(3.7*($I34-0.008)/'Calculation Constants'!$B$5*1000)))^2</f>
        <v>1.4542845531075887E-2</v>
      </c>
      <c r="AN34" s="19">
        <f t="shared" si="22"/>
        <v>1.6249731396833385</v>
      </c>
      <c r="AO34" s="19">
        <f>IF($H34&gt;0,'Calculation Constants'!$B$9*Hydraulics!$K34^2/2/9.81/MAX($F$4:$F$253)*$H34,"")</f>
        <v>6.3421890311175441E-2</v>
      </c>
      <c r="AP34" s="19">
        <f t="shared" si="23"/>
        <v>1.6883950299945139</v>
      </c>
      <c r="AQ34" s="19">
        <f t="shared" si="8"/>
        <v>0</v>
      </c>
      <c r="AR34" s="19">
        <f t="shared" si="24"/>
        <v>21.525099400108502</v>
      </c>
      <c r="AS34" s="23">
        <f t="shared" si="25"/>
        <v>1077.9020994001085</v>
      </c>
    </row>
    <row r="35" spans="5:45">
      <c r="E35" s="35" t="str">
        <f t="shared" si="9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1.9</v>
      </c>
      <c r="J35" s="36">
        <f>'Flow Rate Calculations'!$B$7</f>
        <v>4.0831050228310497</v>
      </c>
      <c r="K35" s="36">
        <f t="shared" si="10"/>
        <v>1.440102709245225</v>
      </c>
      <c r="L35" s="37">
        <f>$I35*$K35/'Calculation Constants'!$B$7</f>
        <v>2421411.6350140949</v>
      </c>
      <c r="M35" s="37">
        <f t="shared" si="11"/>
        <v>59.167000000000144</v>
      </c>
      <c r="N35" s="23">
        <f t="shared" si="12"/>
        <v>37.57689163349869</v>
      </c>
      <c r="O35" s="57">
        <f t="shared" si="0"/>
        <v>59.167000000000144</v>
      </c>
      <c r="P35" s="66">
        <f>MAX(I35*1000/'Calculation Constants'!$B$14,O35*10*I35*1000/2/('Calculation Constants'!$B$12*1000*'Calculation Constants'!$B$13))</f>
        <v>11.875</v>
      </c>
      <c r="Q35" s="68">
        <f t="shared" si="1"/>
        <v>1105894.9783427313</v>
      </c>
      <c r="R35" s="27">
        <f>(1/(2*LOG(3.7*$I35/'Calculation Constants'!$B$2*1000)))^2</f>
        <v>8.6699836115820689E-3</v>
      </c>
      <c r="S35" s="19">
        <f t="shared" si="13"/>
        <v>0.96467850809376621</v>
      </c>
      <c r="T35" s="19">
        <f>IF($H35&gt;0,'Calculation Constants'!$B$9*Hydraulics!$K35^2/2/9.81/MAX($F$4:$F$253)*$H35,"")</f>
        <v>6.3421890311175441E-2</v>
      </c>
      <c r="U35" s="19">
        <f t="shared" si="14"/>
        <v>1.0281003984049417</v>
      </c>
      <c r="V35" s="19">
        <f t="shared" si="2"/>
        <v>0</v>
      </c>
      <c r="W35" s="19">
        <f t="shared" si="3"/>
        <v>37.57689163349869</v>
      </c>
      <c r="X35" s="23">
        <f t="shared" si="15"/>
        <v>1090.0798916334986</v>
      </c>
      <c r="Y35" s="22">
        <f>(1/(2*LOG(3.7*$I35/'Calculation Constants'!$B$3*1000)))^2</f>
        <v>9.7303620360708887E-3</v>
      </c>
      <c r="Z35" s="19">
        <f t="shared" si="4"/>
        <v>1.0826630767363397</v>
      </c>
      <c r="AA35" s="19">
        <f>IF($H35&gt;0,'Calculation Constants'!$B$9*Hydraulics!$K35^2/2/9.81/MAX($F$4:$F$253)*$H35,"")</f>
        <v>6.3421890311175441E-2</v>
      </c>
      <c r="AB35" s="19">
        <f t="shared" si="27"/>
        <v>1.1460849670475151</v>
      </c>
      <c r="AC35" s="19">
        <f t="shared" si="5"/>
        <v>0</v>
      </c>
      <c r="AD35" s="19">
        <f t="shared" si="17"/>
        <v>35.099215692002645</v>
      </c>
      <c r="AE35" s="23">
        <f t="shared" si="18"/>
        <v>1087.6022156920026</v>
      </c>
      <c r="AF35" s="27">
        <f>(1/(2*LOG(3.7*$I35/'Calculation Constants'!$B$4*1000)))^2</f>
        <v>1.1458969193927592E-2</v>
      </c>
      <c r="AG35" s="19">
        <f t="shared" si="6"/>
        <v>1.274999100520025</v>
      </c>
      <c r="AH35" s="19">
        <f>IF($H35&gt;0,'Calculation Constants'!$B$9*Hydraulics!$K35^2/2/9.81/MAX($F$4:$F$253)*$H35,"")</f>
        <v>6.3421890311175441E-2</v>
      </c>
      <c r="AI35" s="19">
        <f t="shared" si="19"/>
        <v>1.3384209908312004</v>
      </c>
      <c r="AJ35" s="19">
        <f t="shared" si="7"/>
        <v>0</v>
      </c>
      <c r="AK35" s="19">
        <f t="shared" si="20"/>
        <v>31.060159192542642</v>
      </c>
      <c r="AL35" s="23">
        <f t="shared" si="21"/>
        <v>1083.5631591925426</v>
      </c>
      <c r="AM35" s="22">
        <f>(1/(2*LOG(3.7*($I35-0.008)/'Calculation Constants'!$B$5*1000)))^2</f>
        <v>1.4542845531075887E-2</v>
      </c>
      <c r="AN35" s="19">
        <f t="shared" si="22"/>
        <v>1.6249731396833385</v>
      </c>
      <c r="AO35" s="19">
        <f>IF($H35&gt;0,'Calculation Constants'!$B$9*Hydraulics!$K35^2/2/9.81/MAX($F$4:$F$253)*$H35,"")</f>
        <v>6.3421890311175441E-2</v>
      </c>
      <c r="AP35" s="19">
        <f t="shared" si="23"/>
        <v>1.6883950299945139</v>
      </c>
      <c r="AQ35" s="19">
        <f t="shared" si="8"/>
        <v>0</v>
      </c>
      <c r="AR35" s="19">
        <f t="shared" si="24"/>
        <v>23.710704370113945</v>
      </c>
      <c r="AS35" s="23">
        <f t="shared" si="25"/>
        <v>1076.2137043701139</v>
      </c>
    </row>
    <row r="36" spans="5:45">
      <c r="E36" s="35" t="str">
        <f t="shared" si="9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1.9</v>
      </c>
      <c r="J36" s="36">
        <f>'Flow Rate Calculations'!$B$7</f>
        <v>4.0831050228310497</v>
      </c>
      <c r="K36" s="36">
        <f t="shared" si="10"/>
        <v>1.440102709245225</v>
      </c>
      <c r="L36" s="37">
        <f>$I36*$K36/'Calculation Constants'!$B$7</f>
        <v>2421411.6350140949</v>
      </c>
      <c r="M36" s="37">
        <f t="shared" si="11"/>
        <v>65.648000000000138</v>
      </c>
      <c r="N36" s="23">
        <f t="shared" si="12"/>
        <v>43.029791235093853</v>
      </c>
      <c r="O36" s="57">
        <f t="shared" si="0"/>
        <v>65.648000000000138</v>
      </c>
      <c r="P36" s="66">
        <f>MAX(I36*1000/'Calculation Constants'!$B$14,O36*10*I36*1000/2/('Calculation Constants'!$B$12*1000*'Calculation Constants'!$B$13))</f>
        <v>11.875</v>
      </c>
      <c r="Q36" s="68">
        <f t="shared" si="1"/>
        <v>1105894.9783427313</v>
      </c>
      <c r="R36" s="27">
        <f>(1/(2*LOG(3.7*$I36/'Calculation Constants'!$B$2*1000)))^2</f>
        <v>8.6699836115820689E-3</v>
      </c>
      <c r="S36" s="19">
        <f t="shared" si="13"/>
        <v>0.96467850809376621</v>
      </c>
      <c r="T36" s="19">
        <f>IF($H36&gt;0,'Calculation Constants'!$B$9*Hydraulics!$K36^2/2/9.81/MAX($F$4:$F$253)*$H36,"")</f>
        <v>6.3421890311175441E-2</v>
      </c>
      <c r="U36" s="19">
        <f t="shared" si="14"/>
        <v>1.0281003984049417</v>
      </c>
      <c r="V36" s="19">
        <f t="shared" si="2"/>
        <v>0</v>
      </c>
      <c r="W36" s="19">
        <f t="shared" si="3"/>
        <v>43.029791235093853</v>
      </c>
      <c r="X36" s="23">
        <f t="shared" si="15"/>
        <v>1089.0517912350938</v>
      </c>
      <c r="Y36" s="22">
        <f>(1/(2*LOG(3.7*$I36/'Calculation Constants'!$B$3*1000)))^2</f>
        <v>9.7303620360708887E-3</v>
      </c>
      <c r="Z36" s="19">
        <f t="shared" si="4"/>
        <v>1.0826630767363397</v>
      </c>
      <c r="AA36" s="19">
        <f>IF($H36&gt;0,'Calculation Constants'!$B$9*Hydraulics!$K36^2/2/9.81/MAX($F$4:$F$253)*$H36,"")</f>
        <v>6.3421890311175441E-2</v>
      </c>
      <c r="AB36" s="19">
        <f t="shared" si="27"/>
        <v>1.1460849670475151</v>
      </c>
      <c r="AC36" s="19">
        <f t="shared" si="5"/>
        <v>0</v>
      </c>
      <c r="AD36" s="19">
        <f t="shared" si="17"/>
        <v>40.434130724955139</v>
      </c>
      <c r="AE36" s="23">
        <f t="shared" si="18"/>
        <v>1086.4561307249551</v>
      </c>
      <c r="AF36" s="27">
        <f>(1/(2*LOG(3.7*$I36/'Calculation Constants'!$B$4*1000)))^2</f>
        <v>1.1458969193927592E-2</v>
      </c>
      <c r="AG36" s="19">
        <f t="shared" si="6"/>
        <v>1.274999100520025</v>
      </c>
      <c r="AH36" s="19">
        <f>IF($H36&gt;0,'Calculation Constants'!$B$9*Hydraulics!$K36^2/2/9.81/MAX($F$4:$F$253)*$H36,"")</f>
        <v>6.3421890311175441E-2</v>
      </c>
      <c r="AI36" s="19">
        <f t="shared" si="19"/>
        <v>1.3384209908312004</v>
      </c>
      <c r="AJ36" s="19">
        <f t="shared" si="7"/>
        <v>0</v>
      </c>
      <c r="AK36" s="19">
        <f t="shared" si="20"/>
        <v>36.202738201711327</v>
      </c>
      <c r="AL36" s="23">
        <f t="shared" si="21"/>
        <v>1082.2247382017113</v>
      </c>
      <c r="AM36" s="22">
        <f>(1/(2*LOG(3.7*($I36-0.008)/'Calculation Constants'!$B$5*1000)))^2</f>
        <v>1.4542845531075887E-2</v>
      </c>
      <c r="AN36" s="19">
        <f t="shared" si="22"/>
        <v>1.6249731396833385</v>
      </c>
      <c r="AO36" s="19">
        <f>IF($H36&gt;0,'Calculation Constants'!$B$9*Hydraulics!$K36^2/2/9.81/MAX($F$4:$F$253)*$H36,"")</f>
        <v>6.3421890311175441E-2</v>
      </c>
      <c r="AP36" s="19">
        <f t="shared" si="23"/>
        <v>1.6883950299945139</v>
      </c>
      <c r="AQ36" s="19">
        <f t="shared" si="8"/>
        <v>0</v>
      </c>
      <c r="AR36" s="19">
        <f t="shared" si="24"/>
        <v>28.503309340119358</v>
      </c>
      <c r="AS36" s="23">
        <f t="shared" si="25"/>
        <v>1074.5253093401193</v>
      </c>
    </row>
    <row r="37" spans="5:45">
      <c r="E37" s="35" t="str">
        <f t="shared" si="9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1.9</v>
      </c>
      <c r="J37" s="36">
        <f>'Flow Rate Calculations'!$B$7</f>
        <v>4.0831050228310497</v>
      </c>
      <c r="K37" s="36">
        <f t="shared" si="10"/>
        <v>1.440102709245225</v>
      </c>
      <c r="L37" s="37">
        <f>$I37*$K37/'Calculation Constants'!$B$7</f>
        <v>2421411.6350140949</v>
      </c>
      <c r="M37" s="37">
        <f t="shared" si="11"/>
        <v>75.095000000000027</v>
      </c>
      <c r="N37" s="23">
        <f t="shared" si="12"/>
        <v>51.448690836688911</v>
      </c>
      <c r="O37" s="57">
        <f t="shared" si="0"/>
        <v>75.095000000000027</v>
      </c>
      <c r="P37" s="66">
        <f>MAX(I37*1000/'Calculation Constants'!$B$14,O37*10*I37*1000/2/('Calculation Constants'!$B$12*1000*'Calculation Constants'!$B$13))</f>
        <v>11.875</v>
      </c>
      <c r="Q37" s="68">
        <f t="shared" si="1"/>
        <v>1105894.9783427313</v>
      </c>
      <c r="R37" s="27">
        <f>(1/(2*LOG(3.7*$I37/'Calculation Constants'!$B$2*1000)))^2</f>
        <v>8.6699836115820689E-3</v>
      </c>
      <c r="S37" s="19">
        <f t="shared" si="13"/>
        <v>0.96467850809376621</v>
      </c>
      <c r="T37" s="19">
        <f>IF($H37&gt;0,'Calculation Constants'!$B$9*Hydraulics!$K37^2/2/9.81/MAX($F$4:$F$253)*$H37,"")</f>
        <v>6.3421890311175441E-2</v>
      </c>
      <c r="U37" s="19">
        <f t="shared" si="14"/>
        <v>1.0281003984049417</v>
      </c>
      <c r="V37" s="19">
        <f t="shared" si="2"/>
        <v>0</v>
      </c>
      <c r="W37" s="19">
        <f t="shared" si="3"/>
        <v>51.448690836688911</v>
      </c>
      <c r="X37" s="23">
        <f t="shared" si="15"/>
        <v>1088.023690836689</v>
      </c>
      <c r="Y37" s="22">
        <f>(1/(2*LOG(3.7*$I37/'Calculation Constants'!$B$3*1000)))^2</f>
        <v>9.7303620360708887E-3</v>
      </c>
      <c r="Z37" s="19">
        <f t="shared" si="4"/>
        <v>1.0826630767363397</v>
      </c>
      <c r="AA37" s="19">
        <f>IF($H37&gt;0,'Calculation Constants'!$B$9*Hydraulics!$K37^2/2/9.81/MAX($F$4:$F$253)*$H37,"")</f>
        <v>6.3421890311175441E-2</v>
      </c>
      <c r="AB37" s="19">
        <f t="shared" si="27"/>
        <v>1.1460849670475151</v>
      </c>
      <c r="AC37" s="19">
        <f t="shared" si="5"/>
        <v>0</v>
      </c>
      <c r="AD37" s="19">
        <f t="shared" si="17"/>
        <v>48.735045757907528</v>
      </c>
      <c r="AE37" s="23">
        <f t="shared" si="18"/>
        <v>1085.3100457579076</v>
      </c>
      <c r="AF37" s="27">
        <f>(1/(2*LOG(3.7*$I37/'Calculation Constants'!$B$4*1000)))^2</f>
        <v>1.1458969193927592E-2</v>
      </c>
      <c r="AG37" s="19">
        <f t="shared" si="6"/>
        <v>1.274999100520025</v>
      </c>
      <c r="AH37" s="19">
        <f>IF($H37&gt;0,'Calculation Constants'!$B$9*Hydraulics!$K37^2/2/9.81/MAX($F$4:$F$253)*$H37,"")</f>
        <v>6.3421890311175441E-2</v>
      </c>
      <c r="AI37" s="19">
        <f t="shared" si="19"/>
        <v>1.3384209908312004</v>
      </c>
      <c r="AJ37" s="19">
        <f t="shared" si="7"/>
        <v>0</v>
      </c>
      <c r="AK37" s="19">
        <f t="shared" si="20"/>
        <v>44.311317210879906</v>
      </c>
      <c r="AL37" s="23">
        <f t="shared" si="21"/>
        <v>1080.88631721088</v>
      </c>
      <c r="AM37" s="22">
        <f>(1/(2*LOG(3.7*($I37-0.008)/'Calculation Constants'!$B$5*1000)))^2</f>
        <v>1.4542845531075887E-2</v>
      </c>
      <c r="AN37" s="19">
        <f t="shared" si="22"/>
        <v>1.6249731396833385</v>
      </c>
      <c r="AO37" s="19">
        <f>IF($H37&gt;0,'Calculation Constants'!$B$9*Hydraulics!$K37^2/2/9.81/MAX($F$4:$F$253)*$H37,"")</f>
        <v>6.3421890311175441E-2</v>
      </c>
      <c r="AP37" s="19">
        <f t="shared" si="23"/>
        <v>1.6883950299945139</v>
      </c>
      <c r="AQ37" s="19">
        <f t="shared" si="8"/>
        <v>0</v>
      </c>
      <c r="AR37" s="19">
        <f t="shared" si="24"/>
        <v>36.261914310124666</v>
      </c>
      <c r="AS37" s="23">
        <f t="shared" si="25"/>
        <v>1072.8369143101247</v>
      </c>
    </row>
    <row r="38" spans="5:45">
      <c r="E38" s="35" t="str">
        <f t="shared" si="9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1.9</v>
      </c>
      <c r="J38" s="36">
        <f>'Flow Rate Calculations'!$B$7</f>
        <v>4.0831050228310497</v>
      </c>
      <c r="K38" s="36">
        <f t="shared" si="10"/>
        <v>1.440102709245225</v>
      </c>
      <c r="L38" s="37">
        <f>$I38*$K38/'Calculation Constants'!$B$7</f>
        <v>2421411.6350140949</v>
      </c>
      <c r="M38" s="37">
        <f t="shared" si="11"/>
        <v>79.852000000000089</v>
      </c>
      <c r="N38" s="23">
        <f t="shared" si="12"/>
        <v>55.177590438284142</v>
      </c>
      <c r="O38" s="57">
        <f t="shared" si="0"/>
        <v>79.852000000000089</v>
      </c>
      <c r="P38" s="66">
        <f>MAX(I38*1000/'Calculation Constants'!$B$14,O38*10*I38*1000/2/('Calculation Constants'!$B$12*1000*'Calculation Constants'!$B$13))</f>
        <v>11.875</v>
      </c>
      <c r="Q38" s="68">
        <f t="shared" si="1"/>
        <v>1105894.9783427313</v>
      </c>
      <c r="R38" s="27">
        <f>(1/(2*LOG(3.7*$I38/'Calculation Constants'!$B$2*1000)))^2</f>
        <v>8.6699836115820689E-3</v>
      </c>
      <c r="S38" s="19">
        <f t="shared" si="13"/>
        <v>0.96467850809376621</v>
      </c>
      <c r="T38" s="19">
        <f>IF($H38&gt;0,'Calculation Constants'!$B$9*Hydraulics!$K38^2/2/9.81/MAX($F$4:$F$253)*$H38,"")</f>
        <v>6.3421890311175441E-2</v>
      </c>
      <c r="U38" s="19">
        <f t="shared" si="14"/>
        <v>1.0281003984049417</v>
      </c>
      <c r="V38" s="19">
        <f t="shared" si="2"/>
        <v>0</v>
      </c>
      <c r="W38" s="19">
        <f t="shared" si="3"/>
        <v>55.177590438284142</v>
      </c>
      <c r="X38" s="23">
        <f t="shared" si="15"/>
        <v>1086.9955904382841</v>
      </c>
      <c r="Y38" s="22">
        <f>(1/(2*LOG(3.7*$I38/'Calculation Constants'!$B$3*1000)))^2</f>
        <v>9.7303620360708887E-3</v>
      </c>
      <c r="Z38" s="19">
        <f t="shared" si="4"/>
        <v>1.0826630767363397</v>
      </c>
      <c r="AA38" s="19">
        <f>IF($H38&gt;0,'Calculation Constants'!$B$9*Hydraulics!$K38^2/2/9.81/MAX($F$4:$F$253)*$H38,"")</f>
        <v>6.3421890311175441E-2</v>
      </c>
      <c r="AB38" s="19">
        <f t="shared" si="27"/>
        <v>1.1460849670475151</v>
      </c>
      <c r="AC38" s="19">
        <f t="shared" si="5"/>
        <v>0</v>
      </c>
      <c r="AD38" s="19">
        <f t="shared" si="17"/>
        <v>52.34596079086009</v>
      </c>
      <c r="AE38" s="23">
        <f t="shared" si="18"/>
        <v>1084.1639607908601</v>
      </c>
      <c r="AF38" s="27">
        <f>(1/(2*LOG(3.7*$I38/'Calculation Constants'!$B$4*1000)))^2</f>
        <v>1.1458969193927592E-2</v>
      </c>
      <c r="AG38" s="19">
        <f t="shared" si="6"/>
        <v>1.274999100520025</v>
      </c>
      <c r="AH38" s="19">
        <f>IF($H38&gt;0,'Calculation Constants'!$B$9*Hydraulics!$K38^2/2/9.81/MAX($F$4:$F$253)*$H38,"")</f>
        <v>6.3421890311175441E-2</v>
      </c>
      <c r="AI38" s="19">
        <f t="shared" si="19"/>
        <v>1.3384209908312004</v>
      </c>
      <c r="AJ38" s="19">
        <f t="shared" si="7"/>
        <v>0</v>
      </c>
      <c r="AK38" s="19">
        <f t="shared" si="20"/>
        <v>47.729896220048659</v>
      </c>
      <c r="AL38" s="23">
        <f t="shared" si="21"/>
        <v>1079.5478962200486</v>
      </c>
      <c r="AM38" s="22">
        <f>(1/(2*LOG(3.7*($I38-0.008)/'Calculation Constants'!$B$5*1000)))^2</f>
        <v>1.4542845531075887E-2</v>
      </c>
      <c r="AN38" s="19">
        <f t="shared" si="22"/>
        <v>1.6249731396833385</v>
      </c>
      <c r="AO38" s="19">
        <f>IF($H38&gt;0,'Calculation Constants'!$B$9*Hydraulics!$K38^2/2/9.81/MAX($F$4:$F$253)*$H38,"")</f>
        <v>6.3421890311175441E-2</v>
      </c>
      <c r="AP38" s="19">
        <f t="shared" si="23"/>
        <v>1.6883950299945139</v>
      </c>
      <c r="AQ38" s="19">
        <f t="shared" si="8"/>
        <v>0</v>
      </c>
      <c r="AR38" s="19">
        <f t="shared" si="24"/>
        <v>39.330519280130147</v>
      </c>
      <c r="AS38" s="23">
        <f t="shared" si="25"/>
        <v>1071.1485192801301</v>
      </c>
    </row>
    <row r="39" spans="5:45">
      <c r="E39" s="35" t="str">
        <f t="shared" si="9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1.9</v>
      </c>
      <c r="J39" s="36">
        <f>'Flow Rate Calculations'!$B$7</f>
        <v>4.0831050228310497</v>
      </c>
      <c r="K39" s="36">
        <f t="shared" si="10"/>
        <v>1.440102709245225</v>
      </c>
      <c r="L39" s="37">
        <f>$I39*$K39/'Calculation Constants'!$B$7</f>
        <v>2421411.6350140949</v>
      </c>
      <c r="M39" s="37">
        <f t="shared" si="11"/>
        <v>83.995000000000118</v>
      </c>
      <c r="N39" s="23">
        <f t="shared" si="12"/>
        <v>58.29249003987934</v>
      </c>
      <c r="O39" s="57">
        <f t="shared" si="0"/>
        <v>83.995000000000118</v>
      </c>
      <c r="P39" s="66">
        <f>MAX(I39*1000/'Calculation Constants'!$B$14,O39*10*I39*1000/2/('Calculation Constants'!$B$12*1000*'Calculation Constants'!$B$13))</f>
        <v>11.875</v>
      </c>
      <c r="Q39" s="68">
        <f t="shared" si="1"/>
        <v>1105894.9783427313</v>
      </c>
      <c r="R39" s="27">
        <f>(1/(2*LOG(3.7*$I39/'Calculation Constants'!$B$2*1000)))^2</f>
        <v>8.6699836115820689E-3</v>
      </c>
      <c r="S39" s="19">
        <f t="shared" si="13"/>
        <v>0.96467850809376621</v>
      </c>
      <c r="T39" s="19">
        <f>IF($H39&gt;0,'Calculation Constants'!$B$9*Hydraulics!$K39^2/2/9.81/MAX($F$4:$F$253)*$H39,"")</f>
        <v>6.3421890311175441E-2</v>
      </c>
      <c r="U39" s="19">
        <f t="shared" si="14"/>
        <v>1.0281003984049417</v>
      </c>
      <c r="V39" s="19">
        <f t="shared" si="2"/>
        <v>0</v>
      </c>
      <c r="W39" s="19">
        <f t="shared" si="3"/>
        <v>58.29249003987934</v>
      </c>
      <c r="X39" s="23">
        <f t="shared" si="15"/>
        <v>1085.9674900398793</v>
      </c>
      <c r="Y39" s="22">
        <f>(1/(2*LOG(3.7*$I39/'Calculation Constants'!$B$3*1000)))^2</f>
        <v>9.7303620360708887E-3</v>
      </c>
      <c r="Z39" s="19">
        <f t="shared" si="4"/>
        <v>1.0826630767363397</v>
      </c>
      <c r="AA39" s="19">
        <f>IF($H39&gt;0,'Calculation Constants'!$B$9*Hydraulics!$K39^2/2/9.81/MAX($F$4:$F$253)*$H39,"")</f>
        <v>6.3421890311175441E-2</v>
      </c>
      <c r="AB39" s="19">
        <f t="shared" si="27"/>
        <v>1.1460849670475151</v>
      </c>
      <c r="AC39" s="19">
        <f t="shared" si="5"/>
        <v>0</v>
      </c>
      <c r="AD39" s="19">
        <f t="shared" si="17"/>
        <v>55.342875823812619</v>
      </c>
      <c r="AE39" s="23">
        <f t="shared" si="18"/>
        <v>1083.0178758238126</v>
      </c>
      <c r="AF39" s="27">
        <f>(1/(2*LOG(3.7*$I39/'Calculation Constants'!$B$4*1000)))^2</f>
        <v>1.1458969193927592E-2</v>
      </c>
      <c r="AG39" s="19">
        <f t="shared" si="6"/>
        <v>1.274999100520025</v>
      </c>
      <c r="AH39" s="19">
        <f>IF($H39&gt;0,'Calculation Constants'!$B$9*Hydraulics!$K39^2/2/9.81/MAX($F$4:$F$253)*$H39,"")</f>
        <v>6.3421890311175441E-2</v>
      </c>
      <c r="AI39" s="19">
        <f t="shared" si="19"/>
        <v>1.3384209908312004</v>
      </c>
      <c r="AJ39" s="19">
        <f t="shared" si="7"/>
        <v>0</v>
      </c>
      <c r="AK39" s="19">
        <f t="shared" si="20"/>
        <v>50.534475229217378</v>
      </c>
      <c r="AL39" s="23">
        <f t="shared" si="21"/>
        <v>1078.2094752292173</v>
      </c>
      <c r="AM39" s="22">
        <f>(1/(2*LOG(3.7*($I39-0.008)/'Calculation Constants'!$B$5*1000)))^2</f>
        <v>1.4542845531075887E-2</v>
      </c>
      <c r="AN39" s="19">
        <f t="shared" si="22"/>
        <v>1.6249731396833385</v>
      </c>
      <c r="AO39" s="19">
        <f>IF($H39&gt;0,'Calculation Constants'!$B$9*Hydraulics!$K39^2/2/9.81/MAX($F$4:$F$253)*$H39,"")</f>
        <v>6.3421890311175441E-2</v>
      </c>
      <c r="AP39" s="19">
        <f t="shared" si="23"/>
        <v>1.6883950299945139</v>
      </c>
      <c r="AQ39" s="19">
        <f t="shared" si="8"/>
        <v>0</v>
      </c>
      <c r="AR39" s="19">
        <f t="shared" si="24"/>
        <v>41.785124250135596</v>
      </c>
      <c r="AS39" s="23">
        <f t="shared" si="25"/>
        <v>1069.4601242501356</v>
      </c>
    </row>
    <row r="40" spans="5:45">
      <c r="E40" s="35" t="str">
        <f t="shared" si="9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1.9</v>
      </c>
      <c r="J40" s="36">
        <f>'Flow Rate Calculations'!$B$7</f>
        <v>4.0831050228310497</v>
      </c>
      <c r="K40" s="36">
        <f t="shared" si="10"/>
        <v>1.440102709245225</v>
      </c>
      <c r="L40" s="37">
        <f>$I40*$K40/'Calculation Constants'!$B$7</f>
        <v>2421411.6350140949</v>
      </c>
      <c r="M40" s="37">
        <f t="shared" si="11"/>
        <v>87.826000000000022</v>
      </c>
      <c r="N40" s="23">
        <f t="shared" si="12"/>
        <v>61.095389641474412</v>
      </c>
      <c r="O40" s="57">
        <f t="shared" si="0"/>
        <v>87.826000000000022</v>
      </c>
      <c r="P40" s="66">
        <f>MAX(I40*1000/'Calculation Constants'!$B$14,O40*10*I40*1000/2/('Calculation Constants'!$B$12*1000*'Calculation Constants'!$B$13))</f>
        <v>11.875</v>
      </c>
      <c r="Q40" s="68">
        <f t="shared" si="1"/>
        <v>1105894.9783427313</v>
      </c>
      <c r="R40" s="27">
        <f>(1/(2*LOG(3.7*$I40/'Calculation Constants'!$B$2*1000)))^2</f>
        <v>8.6699836115820689E-3</v>
      </c>
      <c r="S40" s="19">
        <f t="shared" si="13"/>
        <v>0.96467850809376621</v>
      </c>
      <c r="T40" s="19">
        <f>IF($H40&gt;0,'Calculation Constants'!$B$9*Hydraulics!$K40^2/2/9.81/MAX($F$4:$F$253)*$H40,"")</f>
        <v>6.3421890311175441E-2</v>
      </c>
      <c r="U40" s="19">
        <f t="shared" si="14"/>
        <v>1.0281003984049417</v>
      </c>
      <c r="V40" s="19">
        <f t="shared" si="2"/>
        <v>0</v>
      </c>
      <c r="W40" s="19">
        <f t="shared" si="3"/>
        <v>61.095389641474412</v>
      </c>
      <c r="X40" s="23">
        <f t="shared" si="15"/>
        <v>1084.9393896414745</v>
      </c>
      <c r="Y40" s="22">
        <f>(1/(2*LOG(3.7*$I40/'Calculation Constants'!$B$3*1000)))^2</f>
        <v>9.7303620360708887E-3</v>
      </c>
      <c r="Z40" s="19">
        <f t="shared" si="4"/>
        <v>1.0826630767363397</v>
      </c>
      <c r="AA40" s="19">
        <f>IF($H40&gt;0,'Calculation Constants'!$B$9*Hydraulics!$K40^2/2/9.81/MAX($F$4:$F$253)*$H40,"")</f>
        <v>6.3421890311175441E-2</v>
      </c>
      <c r="AB40" s="19">
        <f t="shared" si="27"/>
        <v>1.1460849670475151</v>
      </c>
      <c r="AC40" s="19">
        <f t="shared" si="5"/>
        <v>0</v>
      </c>
      <c r="AD40" s="19">
        <f t="shared" si="17"/>
        <v>58.027790856765023</v>
      </c>
      <c r="AE40" s="23">
        <f t="shared" si="18"/>
        <v>1081.8717908567651</v>
      </c>
      <c r="AF40" s="27">
        <f>(1/(2*LOG(3.7*$I40/'Calculation Constants'!$B$4*1000)))^2</f>
        <v>1.1458969193927592E-2</v>
      </c>
      <c r="AG40" s="19">
        <f t="shared" si="6"/>
        <v>1.274999100520025</v>
      </c>
      <c r="AH40" s="19">
        <f>IF($H40&gt;0,'Calculation Constants'!$B$9*Hydraulics!$K40^2/2/9.81/MAX($F$4:$F$253)*$H40,"")</f>
        <v>6.3421890311175441E-2</v>
      </c>
      <c r="AI40" s="19">
        <f t="shared" si="19"/>
        <v>1.3384209908312004</v>
      </c>
      <c r="AJ40" s="19">
        <f t="shared" si="7"/>
        <v>0</v>
      </c>
      <c r="AK40" s="19">
        <f t="shared" si="20"/>
        <v>53.027054238385972</v>
      </c>
      <c r="AL40" s="23">
        <f t="shared" si="21"/>
        <v>1076.871054238386</v>
      </c>
      <c r="AM40" s="22">
        <f>(1/(2*LOG(3.7*($I40-0.008)/'Calculation Constants'!$B$5*1000)))^2</f>
        <v>1.4542845531075887E-2</v>
      </c>
      <c r="AN40" s="19">
        <f t="shared" si="22"/>
        <v>1.6249731396833385</v>
      </c>
      <c r="AO40" s="19">
        <f>IF($H40&gt;0,'Calculation Constants'!$B$9*Hydraulics!$K40^2/2/9.81/MAX($F$4:$F$253)*$H40,"")</f>
        <v>6.3421890311175441E-2</v>
      </c>
      <c r="AP40" s="19">
        <f t="shared" si="23"/>
        <v>1.6883950299945139</v>
      </c>
      <c r="AQ40" s="19">
        <f t="shared" si="8"/>
        <v>0</v>
      </c>
      <c r="AR40" s="19">
        <f t="shared" si="24"/>
        <v>43.927729220140918</v>
      </c>
      <c r="AS40" s="23">
        <f t="shared" si="25"/>
        <v>1067.771729220141</v>
      </c>
    </row>
    <row r="41" spans="5:45">
      <c r="E41" s="35" t="str">
        <f t="shared" si="9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1.9</v>
      </c>
      <c r="J41" s="36">
        <f>'Flow Rate Calculations'!$B$7</f>
        <v>4.0831050228310497</v>
      </c>
      <c r="K41" s="36">
        <f t="shared" si="10"/>
        <v>1.440102709245225</v>
      </c>
      <c r="L41" s="37">
        <f>$I41*$K41/'Calculation Constants'!$B$7</f>
        <v>2421411.6350140949</v>
      </c>
      <c r="M41" s="37">
        <f t="shared" si="11"/>
        <v>90.782000000000039</v>
      </c>
      <c r="N41" s="23">
        <f t="shared" si="12"/>
        <v>63.023289243069598</v>
      </c>
      <c r="O41" s="57">
        <f t="shared" si="0"/>
        <v>90.782000000000039</v>
      </c>
      <c r="P41" s="66">
        <f>MAX(I41*1000/'Calculation Constants'!$B$14,O41*10*I41*1000/2/('Calculation Constants'!$B$12*1000*'Calculation Constants'!$B$13))</f>
        <v>11.875</v>
      </c>
      <c r="Q41" s="68">
        <f t="shared" si="1"/>
        <v>1105894.9783427313</v>
      </c>
      <c r="R41" s="27">
        <f>(1/(2*LOG(3.7*$I41/'Calculation Constants'!$B$2*1000)))^2</f>
        <v>8.6699836115820689E-3</v>
      </c>
      <c r="S41" s="19">
        <f t="shared" si="13"/>
        <v>0.96467850809376621</v>
      </c>
      <c r="T41" s="19">
        <f>IF($H41&gt;0,'Calculation Constants'!$B$9*Hydraulics!$K41^2/2/9.81/MAX($F$4:$F$253)*$H41,"")</f>
        <v>6.3421890311175441E-2</v>
      </c>
      <c r="U41" s="19">
        <f t="shared" si="14"/>
        <v>1.0281003984049417</v>
      </c>
      <c r="V41" s="19">
        <f t="shared" si="2"/>
        <v>0</v>
      </c>
      <c r="W41" s="19">
        <f t="shared" si="3"/>
        <v>63.023289243069598</v>
      </c>
      <c r="X41" s="23">
        <f t="shared" si="15"/>
        <v>1083.9112892430696</v>
      </c>
      <c r="Y41" s="22">
        <f>(1/(2*LOG(3.7*$I41/'Calculation Constants'!$B$3*1000)))^2</f>
        <v>9.7303620360708887E-3</v>
      </c>
      <c r="Z41" s="19">
        <f t="shared" si="4"/>
        <v>1.0826630767363397</v>
      </c>
      <c r="AA41" s="19">
        <f>IF($H41&gt;0,'Calculation Constants'!$B$9*Hydraulics!$K41^2/2/9.81/MAX($F$4:$F$253)*$H41,"")</f>
        <v>6.3421890311175441E-2</v>
      </c>
      <c r="AB41" s="19">
        <f t="shared" si="27"/>
        <v>1.1460849670475151</v>
      </c>
      <c r="AC41" s="19">
        <f t="shared" si="5"/>
        <v>0</v>
      </c>
      <c r="AD41" s="19">
        <f t="shared" si="17"/>
        <v>59.83770588971754</v>
      </c>
      <c r="AE41" s="23">
        <f t="shared" si="18"/>
        <v>1080.7257058897176</v>
      </c>
      <c r="AF41" s="27">
        <f>(1/(2*LOG(3.7*$I41/'Calculation Constants'!$B$4*1000)))^2</f>
        <v>1.1458969193927592E-2</v>
      </c>
      <c r="AG41" s="19">
        <f t="shared" si="6"/>
        <v>1.274999100520025</v>
      </c>
      <c r="AH41" s="19">
        <f>IF($H41&gt;0,'Calculation Constants'!$B$9*Hydraulics!$K41^2/2/9.81/MAX($F$4:$F$253)*$H41,"")</f>
        <v>6.3421890311175441E-2</v>
      </c>
      <c r="AI41" s="19">
        <f t="shared" si="19"/>
        <v>1.3384209908312004</v>
      </c>
      <c r="AJ41" s="19">
        <f t="shared" si="7"/>
        <v>0</v>
      </c>
      <c r="AK41" s="19">
        <f t="shared" si="20"/>
        <v>54.64463324755468</v>
      </c>
      <c r="AL41" s="23">
        <f t="shared" si="21"/>
        <v>1075.5326332475547</v>
      </c>
      <c r="AM41" s="22">
        <f>(1/(2*LOG(3.7*($I41-0.008)/'Calculation Constants'!$B$5*1000)))^2</f>
        <v>1.4542845531075887E-2</v>
      </c>
      <c r="AN41" s="19">
        <f t="shared" si="22"/>
        <v>1.6249731396833385</v>
      </c>
      <c r="AO41" s="19">
        <f>IF($H41&gt;0,'Calculation Constants'!$B$9*Hydraulics!$K41^2/2/9.81/MAX($F$4:$F$253)*$H41,"")</f>
        <v>6.3421890311175441E-2</v>
      </c>
      <c r="AP41" s="19">
        <f t="shared" si="23"/>
        <v>1.6883950299945139</v>
      </c>
      <c r="AQ41" s="19">
        <f t="shared" si="8"/>
        <v>0</v>
      </c>
      <c r="AR41" s="19">
        <f t="shared" si="24"/>
        <v>45.195334190146355</v>
      </c>
      <c r="AS41" s="23">
        <f t="shared" si="25"/>
        <v>1066.0833341901464</v>
      </c>
    </row>
    <row r="42" spans="5:45">
      <c r="E42" s="35" t="str">
        <f t="shared" si="9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1.9</v>
      </c>
      <c r="J42" s="36">
        <f>'Flow Rate Calculations'!$B$7</f>
        <v>4.0831050228310497</v>
      </c>
      <c r="K42" s="36">
        <f t="shared" si="10"/>
        <v>1.440102709245225</v>
      </c>
      <c r="L42" s="37">
        <f>$I42*$K42/'Calculation Constants'!$B$7</f>
        <v>2421411.6350140949</v>
      </c>
      <c r="M42" s="37">
        <f t="shared" si="11"/>
        <v>88.022000000000048</v>
      </c>
      <c r="N42" s="23">
        <f t="shared" si="12"/>
        <v>59.235188844664776</v>
      </c>
      <c r="O42" s="57">
        <f t="shared" si="0"/>
        <v>88.022000000000048</v>
      </c>
      <c r="P42" s="66">
        <f>MAX(I42*1000/'Calculation Constants'!$B$14,O42*10*I42*1000/2/('Calculation Constants'!$B$12*1000*'Calculation Constants'!$B$13))</f>
        <v>11.875</v>
      </c>
      <c r="Q42" s="68">
        <f t="shared" si="1"/>
        <v>1105894.9783427313</v>
      </c>
      <c r="R42" s="27">
        <f>(1/(2*LOG(3.7*$I42/'Calculation Constants'!$B$2*1000)))^2</f>
        <v>8.6699836115820689E-3</v>
      </c>
      <c r="S42" s="19">
        <f t="shared" si="13"/>
        <v>0.96467850809376621</v>
      </c>
      <c r="T42" s="19">
        <f>IF($H42&gt;0,'Calculation Constants'!$B$9*Hydraulics!$K42^2/2/9.81/MAX($F$4:$F$253)*$H42,"")</f>
        <v>6.3421890311175441E-2</v>
      </c>
      <c r="U42" s="19">
        <f t="shared" si="14"/>
        <v>1.0281003984049417</v>
      </c>
      <c r="V42" s="19">
        <f t="shared" si="2"/>
        <v>0</v>
      </c>
      <c r="W42" s="19">
        <f t="shared" si="3"/>
        <v>59.235188844664776</v>
      </c>
      <c r="X42" s="23">
        <f t="shared" si="15"/>
        <v>1082.8831888446648</v>
      </c>
      <c r="Y42" s="22">
        <f>(1/(2*LOG(3.7*$I42/'Calculation Constants'!$B$3*1000)))^2</f>
        <v>9.7303620360708887E-3</v>
      </c>
      <c r="Z42" s="19">
        <f t="shared" si="4"/>
        <v>1.0826630767363397</v>
      </c>
      <c r="AA42" s="19">
        <f>IF($H42&gt;0,'Calculation Constants'!$B$9*Hydraulics!$K42^2/2/9.81/MAX($F$4:$F$253)*$H42,"")</f>
        <v>6.3421890311175441E-2</v>
      </c>
      <c r="AB42" s="19">
        <f t="shared" si="27"/>
        <v>1.1460849670475151</v>
      </c>
      <c r="AC42" s="19">
        <f t="shared" si="5"/>
        <v>0</v>
      </c>
      <c r="AD42" s="19">
        <f t="shared" si="17"/>
        <v>55.931620922670049</v>
      </c>
      <c r="AE42" s="23">
        <f t="shared" si="18"/>
        <v>1079.5796209226701</v>
      </c>
      <c r="AF42" s="27">
        <f>(1/(2*LOG(3.7*$I42/'Calculation Constants'!$B$4*1000)))^2</f>
        <v>1.1458969193927592E-2</v>
      </c>
      <c r="AG42" s="19">
        <f t="shared" si="6"/>
        <v>1.274999100520025</v>
      </c>
      <c r="AH42" s="19">
        <f>IF($H42&gt;0,'Calculation Constants'!$B$9*Hydraulics!$K42^2/2/9.81/MAX($F$4:$F$253)*$H42,"")</f>
        <v>6.3421890311175441E-2</v>
      </c>
      <c r="AI42" s="19">
        <f t="shared" si="19"/>
        <v>1.3384209908312004</v>
      </c>
      <c r="AJ42" s="19">
        <f t="shared" si="7"/>
        <v>0</v>
      </c>
      <c r="AK42" s="19">
        <f t="shared" si="20"/>
        <v>50.546212256723379</v>
      </c>
      <c r="AL42" s="23">
        <f t="shared" si="21"/>
        <v>1074.1942122567234</v>
      </c>
      <c r="AM42" s="22">
        <f>(1/(2*LOG(3.7*($I42-0.008)/'Calculation Constants'!$B$5*1000)))^2</f>
        <v>1.4542845531075887E-2</v>
      </c>
      <c r="AN42" s="19">
        <f t="shared" si="22"/>
        <v>1.6249731396833385</v>
      </c>
      <c r="AO42" s="19">
        <f>IF($H42&gt;0,'Calculation Constants'!$B$9*Hydraulics!$K42^2/2/9.81/MAX($F$4:$F$253)*$H42,"")</f>
        <v>6.3421890311175441E-2</v>
      </c>
      <c r="AP42" s="19">
        <f t="shared" si="23"/>
        <v>1.6883950299945139</v>
      </c>
      <c r="AQ42" s="19">
        <f t="shared" si="8"/>
        <v>0</v>
      </c>
      <c r="AR42" s="19">
        <f t="shared" si="24"/>
        <v>40.746939160151783</v>
      </c>
      <c r="AS42" s="23">
        <f t="shared" si="25"/>
        <v>1064.3949391601518</v>
      </c>
    </row>
    <row r="43" spans="5:45">
      <c r="E43" s="35" t="str">
        <f t="shared" si="9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1.9</v>
      </c>
      <c r="J43" s="36">
        <f>'Flow Rate Calculations'!$B$7</f>
        <v>4.0831050228310497</v>
      </c>
      <c r="K43" s="36">
        <f t="shared" si="10"/>
        <v>1.440102709245225</v>
      </c>
      <c r="L43" s="37">
        <f>$I43*$K43/'Calculation Constants'!$B$7</f>
        <v>2421411.6350140949</v>
      </c>
      <c r="M43" s="37">
        <f t="shared" si="11"/>
        <v>84.104000000000042</v>
      </c>
      <c r="N43" s="23">
        <f t="shared" si="12"/>
        <v>54.289088446259939</v>
      </c>
      <c r="O43" s="57">
        <f t="shared" si="0"/>
        <v>84.104000000000042</v>
      </c>
      <c r="P43" s="66">
        <f>MAX(I43*1000/'Calculation Constants'!$B$14,O43*10*I43*1000/2/('Calculation Constants'!$B$12*1000*'Calculation Constants'!$B$13))</f>
        <v>11.875</v>
      </c>
      <c r="Q43" s="68">
        <f t="shared" si="1"/>
        <v>1105894.9783427313</v>
      </c>
      <c r="R43" s="27">
        <f>(1/(2*LOG(3.7*$I43/'Calculation Constants'!$B$2*1000)))^2</f>
        <v>8.6699836115820689E-3</v>
      </c>
      <c r="S43" s="19">
        <f t="shared" si="13"/>
        <v>0.96467850809376621</v>
      </c>
      <c r="T43" s="19">
        <f>IF($H43&gt;0,'Calculation Constants'!$B$9*Hydraulics!$K43^2/2/9.81/MAX($F$4:$F$253)*$H43,"")</f>
        <v>6.3421890311175441E-2</v>
      </c>
      <c r="U43" s="19">
        <f t="shared" si="14"/>
        <v>1.0281003984049417</v>
      </c>
      <c r="V43" s="19">
        <f t="shared" si="2"/>
        <v>0</v>
      </c>
      <c r="W43" s="19">
        <f t="shared" si="3"/>
        <v>54.289088446259939</v>
      </c>
      <c r="X43" s="23">
        <f t="shared" si="15"/>
        <v>1081.85508844626</v>
      </c>
      <c r="Y43" s="22">
        <f>(1/(2*LOG(3.7*$I43/'Calculation Constants'!$B$3*1000)))^2</f>
        <v>9.7303620360708887E-3</v>
      </c>
      <c r="Z43" s="19">
        <f t="shared" si="4"/>
        <v>1.0826630767363397</v>
      </c>
      <c r="AA43" s="19">
        <f>IF($H43&gt;0,'Calculation Constants'!$B$9*Hydraulics!$K43^2/2/9.81/MAX($F$4:$F$253)*$H43,"")</f>
        <v>6.3421890311175441E-2</v>
      </c>
      <c r="AB43" s="19">
        <f t="shared" si="27"/>
        <v>1.1460849670475151</v>
      </c>
      <c r="AC43" s="19">
        <f t="shared" si="5"/>
        <v>0</v>
      </c>
      <c r="AD43" s="19">
        <f t="shared" si="17"/>
        <v>50.867535955622543</v>
      </c>
      <c r="AE43" s="23">
        <f t="shared" si="18"/>
        <v>1078.4335359556226</v>
      </c>
      <c r="AF43" s="27">
        <f>(1/(2*LOG(3.7*$I43/'Calculation Constants'!$B$4*1000)))^2</f>
        <v>1.1458969193927592E-2</v>
      </c>
      <c r="AG43" s="19">
        <f t="shared" si="6"/>
        <v>1.274999100520025</v>
      </c>
      <c r="AH43" s="19">
        <f>IF($H43&gt;0,'Calculation Constants'!$B$9*Hydraulics!$K43^2/2/9.81/MAX($F$4:$F$253)*$H43,"")</f>
        <v>6.3421890311175441E-2</v>
      </c>
      <c r="AI43" s="19">
        <f t="shared" si="19"/>
        <v>1.3384209908312004</v>
      </c>
      <c r="AJ43" s="19">
        <f t="shared" si="7"/>
        <v>0</v>
      </c>
      <c r="AK43" s="19">
        <f t="shared" si="20"/>
        <v>45.289791265892063</v>
      </c>
      <c r="AL43" s="23">
        <f t="shared" si="21"/>
        <v>1072.8557912658921</v>
      </c>
      <c r="AM43" s="22">
        <f>(1/(2*LOG(3.7*($I43-0.008)/'Calculation Constants'!$B$5*1000)))^2</f>
        <v>1.4542845531075887E-2</v>
      </c>
      <c r="AN43" s="19">
        <f t="shared" si="22"/>
        <v>1.6249731396833385</v>
      </c>
      <c r="AO43" s="19">
        <f>IF($H43&gt;0,'Calculation Constants'!$B$9*Hydraulics!$K43^2/2/9.81/MAX($F$4:$F$253)*$H43,"")</f>
        <v>6.3421890311175441E-2</v>
      </c>
      <c r="AP43" s="19">
        <f t="shared" si="23"/>
        <v>1.6883950299945139</v>
      </c>
      <c r="AQ43" s="19">
        <f t="shared" si="8"/>
        <v>0</v>
      </c>
      <c r="AR43" s="19">
        <f t="shared" si="24"/>
        <v>35.140544130157195</v>
      </c>
      <c r="AS43" s="23">
        <f t="shared" si="25"/>
        <v>1062.7065441301572</v>
      </c>
    </row>
    <row r="44" spans="5:45">
      <c r="E44" s="35" t="str">
        <f t="shared" si="9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1.9</v>
      </c>
      <c r="J44" s="36">
        <f>'Flow Rate Calculations'!$B$7</f>
        <v>4.0831050228310497</v>
      </c>
      <c r="K44" s="36">
        <f t="shared" si="10"/>
        <v>1.440102709245225</v>
      </c>
      <c r="L44" s="37">
        <f>$I44*$K44/'Calculation Constants'!$B$7</f>
        <v>2421411.6350140949</v>
      </c>
      <c r="M44" s="37">
        <f t="shared" si="11"/>
        <v>79.298999999999978</v>
      </c>
      <c r="N44" s="23">
        <f t="shared" si="12"/>
        <v>48.455988047855044</v>
      </c>
      <c r="O44" s="57">
        <f t="shared" si="0"/>
        <v>79.298999999999978</v>
      </c>
      <c r="P44" s="66">
        <f>MAX(I44*1000/'Calculation Constants'!$B$14,O44*10*I44*1000/2/('Calculation Constants'!$B$12*1000*'Calculation Constants'!$B$13))</f>
        <v>11.875</v>
      </c>
      <c r="Q44" s="68">
        <f t="shared" si="1"/>
        <v>1105894.9783427313</v>
      </c>
      <c r="R44" s="27">
        <f>(1/(2*LOG(3.7*$I44/'Calculation Constants'!$B$2*1000)))^2</f>
        <v>8.6699836115820689E-3</v>
      </c>
      <c r="S44" s="19">
        <f t="shared" si="13"/>
        <v>0.96467850809376621</v>
      </c>
      <c r="T44" s="19">
        <f>IF($H44&gt;0,'Calculation Constants'!$B$9*Hydraulics!$K44^2/2/9.81/MAX($F$4:$F$253)*$H44,"")</f>
        <v>6.3421890311175441E-2</v>
      </c>
      <c r="U44" s="19">
        <f t="shared" si="14"/>
        <v>1.0281003984049417</v>
      </c>
      <c r="V44" s="19">
        <f t="shared" si="2"/>
        <v>0</v>
      </c>
      <c r="W44" s="19">
        <f t="shared" si="3"/>
        <v>48.455988047855044</v>
      </c>
      <c r="X44" s="23">
        <f t="shared" si="15"/>
        <v>1080.8269880478551</v>
      </c>
      <c r="Y44" s="22">
        <f>(1/(2*LOG(3.7*$I44/'Calculation Constants'!$B$3*1000)))^2</f>
        <v>9.7303620360708887E-3</v>
      </c>
      <c r="Z44" s="19">
        <f t="shared" si="4"/>
        <v>1.0826630767363397</v>
      </c>
      <c r="AA44" s="19">
        <f>IF($H44&gt;0,'Calculation Constants'!$B$9*Hydraulics!$K44^2/2/9.81/MAX($F$4:$F$253)*$H44,"")</f>
        <v>6.3421890311175441E-2</v>
      </c>
      <c r="AB44" s="19">
        <f t="shared" si="27"/>
        <v>1.1460849670475151</v>
      </c>
      <c r="AC44" s="19">
        <f t="shared" si="5"/>
        <v>0</v>
      </c>
      <c r="AD44" s="19">
        <f t="shared" si="17"/>
        <v>44.916450988574979</v>
      </c>
      <c r="AE44" s="23">
        <f t="shared" si="18"/>
        <v>1077.2874509885751</v>
      </c>
      <c r="AF44" s="27">
        <f>(1/(2*LOG(3.7*$I44/'Calculation Constants'!$B$4*1000)))^2</f>
        <v>1.1458969193927592E-2</v>
      </c>
      <c r="AG44" s="19">
        <f t="shared" si="6"/>
        <v>1.274999100520025</v>
      </c>
      <c r="AH44" s="19">
        <f>IF($H44&gt;0,'Calculation Constants'!$B$9*Hydraulics!$K44^2/2/9.81/MAX($F$4:$F$253)*$H44,"")</f>
        <v>6.3421890311175441E-2</v>
      </c>
      <c r="AI44" s="19">
        <f t="shared" si="19"/>
        <v>1.3384209908312004</v>
      </c>
      <c r="AJ44" s="19">
        <f t="shared" si="7"/>
        <v>0</v>
      </c>
      <c r="AK44" s="19">
        <f t="shared" si="20"/>
        <v>39.14637027506069</v>
      </c>
      <c r="AL44" s="23">
        <f t="shared" si="21"/>
        <v>1071.5173702750608</v>
      </c>
      <c r="AM44" s="22">
        <f>(1/(2*LOG(3.7*($I44-0.008)/'Calculation Constants'!$B$5*1000)))^2</f>
        <v>1.4542845531075887E-2</v>
      </c>
      <c r="AN44" s="19">
        <f t="shared" si="22"/>
        <v>1.6249731396833385</v>
      </c>
      <c r="AO44" s="19">
        <f>IF($H44&gt;0,'Calculation Constants'!$B$9*Hydraulics!$K44^2/2/9.81/MAX($F$4:$F$253)*$H44,"")</f>
        <v>6.3421890311175441E-2</v>
      </c>
      <c r="AP44" s="19">
        <f t="shared" si="23"/>
        <v>1.6883950299945139</v>
      </c>
      <c r="AQ44" s="19">
        <f t="shared" si="8"/>
        <v>0</v>
      </c>
      <c r="AR44" s="19">
        <f t="shared" si="24"/>
        <v>28.647149100162551</v>
      </c>
      <c r="AS44" s="23">
        <f t="shared" si="25"/>
        <v>1061.0181491001626</v>
      </c>
    </row>
    <row r="45" spans="5:45">
      <c r="E45" s="35" t="str">
        <f t="shared" si="9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1.9</v>
      </c>
      <c r="J45" s="36">
        <f>'Flow Rate Calculations'!$B$7</f>
        <v>4.0831050228310497</v>
      </c>
      <c r="K45" s="36">
        <f t="shared" si="10"/>
        <v>1.440102709245225</v>
      </c>
      <c r="L45" s="37">
        <f>$I45*$K45/'Calculation Constants'!$B$7</f>
        <v>2421411.6350140949</v>
      </c>
      <c r="M45" s="37">
        <f t="shared" si="11"/>
        <v>76.687000000000126</v>
      </c>
      <c r="N45" s="23">
        <f t="shared" si="12"/>
        <v>44.81588764945036</v>
      </c>
      <c r="O45" s="57">
        <f t="shared" si="0"/>
        <v>76.687000000000126</v>
      </c>
      <c r="P45" s="66">
        <f>MAX(I45*1000/'Calculation Constants'!$B$14,O45*10*I45*1000/2/('Calculation Constants'!$B$12*1000*'Calculation Constants'!$B$13))</f>
        <v>11.875</v>
      </c>
      <c r="Q45" s="68">
        <f t="shared" si="1"/>
        <v>1105894.9783427313</v>
      </c>
      <c r="R45" s="27">
        <f>(1/(2*LOG(3.7*$I45/'Calculation Constants'!$B$2*1000)))^2</f>
        <v>8.6699836115820689E-3</v>
      </c>
      <c r="S45" s="19">
        <f t="shared" si="13"/>
        <v>0.96467850809376621</v>
      </c>
      <c r="T45" s="19">
        <f>IF($H45&gt;0,'Calculation Constants'!$B$9*Hydraulics!$K45^2/2/9.81/MAX($F$4:$F$253)*$H45,"")</f>
        <v>6.3421890311175441E-2</v>
      </c>
      <c r="U45" s="19">
        <f t="shared" si="14"/>
        <v>1.0281003984049417</v>
      </c>
      <c r="V45" s="19">
        <f t="shared" si="2"/>
        <v>0</v>
      </c>
      <c r="W45" s="19">
        <f t="shared" si="3"/>
        <v>44.81588764945036</v>
      </c>
      <c r="X45" s="23">
        <f t="shared" si="15"/>
        <v>1079.7988876494503</v>
      </c>
      <c r="Y45" s="22">
        <f>(1/(2*LOG(3.7*$I45/'Calculation Constants'!$B$3*1000)))^2</f>
        <v>9.7303620360708887E-3</v>
      </c>
      <c r="Z45" s="19">
        <f t="shared" si="4"/>
        <v>1.0826630767363397</v>
      </c>
      <c r="AA45" s="19">
        <f>IF($H45&gt;0,'Calculation Constants'!$B$9*Hydraulics!$K45^2/2/9.81/MAX($F$4:$F$253)*$H45,"")</f>
        <v>6.3421890311175441E-2</v>
      </c>
      <c r="AB45" s="19">
        <f t="shared" si="27"/>
        <v>1.1460849670475151</v>
      </c>
      <c r="AC45" s="19">
        <f t="shared" si="5"/>
        <v>0</v>
      </c>
      <c r="AD45" s="19">
        <f t="shared" si="17"/>
        <v>41.158366021527627</v>
      </c>
      <c r="AE45" s="23">
        <f t="shared" si="18"/>
        <v>1076.1413660215276</v>
      </c>
      <c r="AF45" s="27">
        <f>(1/(2*LOG(3.7*$I45/'Calculation Constants'!$B$4*1000)))^2</f>
        <v>1.1458969193927592E-2</v>
      </c>
      <c r="AG45" s="19">
        <f t="shared" si="6"/>
        <v>1.274999100520025</v>
      </c>
      <c r="AH45" s="19">
        <f>IF($H45&gt;0,'Calculation Constants'!$B$9*Hydraulics!$K45^2/2/9.81/MAX($F$4:$F$253)*$H45,"")</f>
        <v>6.3421890311175441E-2</v>
      </c>
      <c r="AI45" s="19">
        <f t="shared" si="19"/>
        <v>1.3384209908312004</v>
      </c>
      <c r="AJ45" s="19">
        <f t="shared" si="7"/>
        <v>0</v>
      </c>
      <c r="AK45" s="19">
        <f t="shared" si="20"/>
        <v>35.195949284229528</v>
      </c>
      <c r="AL45" s="23">
        <f t="shared" si="21"/>
        <v>1070.1789492842295</v>
      </c>
      <c r="AM45" s="22">
        <f>(1/(2*LOG(3.7*($I45-0.008)/'Calculation Constants'!$B$5*1000)))^2</f>
        <v>1.4542845531075887E-2</v>
      </c>
      <c r="AN45" s="19">
        <f t="shared" si="22"/>
        <v>1.6249731396833385</v>
      </c>
      <c r="AO45" s="19">
        <f>IF($H45&gt;0,'Calculation Constants'!$B$9*Hydraulics!$K45^2/2/9.81/MAX($F$4:$F$253)*$H45,"")</f>
        <v>6.3421890311175441E-2</v>
      </c>
      <c r="AP45" s="19">
        <f t="shared" si="23"/>
        <v>1.6883950299945139</v>
      </c>
      <c r="AQ45" s="19">
        <f t="shared" si="8"/>
        <v>0</v>
      </c>
      <c r="AR45" s="19">
        <f t="shared" si="24"/>
        <v>24.346754070168117</v>
      </c>
      <c r="AS45" s="23">
        <f t="shared" si="25"/>
        <v>1059.3297540701681</v>
      </c>
    </row>
    <row r="46" spans="5:45">
      <c r="E46" s="35" t="str">
        <f t="shared" si="9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1.9</v>
      </c>
      <c r="J46" s="36">
        <f>'Flow Rate Calculations'!$B$7</f>
        <v>4.0831050228310497</v>
      </c>
      <c r="K46" s="36">
        <f t="shared" si="10"/>
        <v>1.440102709245225</v>
      </c>
      <c r="L46" s="37">
        <f>$I46*$K46/'Calculation Constants'!$B$7</f>
        <v>2421411.6350140949</v>
      </c>
      <c r="M46" s="37">
        <f t="shared" si="11"/>
        <v>78.457000000000107</v>
      </c>
      <c r="N46" s="23">
        <f t="shared" si="12"/>
        <v>45.557787251045511</v>
      </c>
      <c r="O46" s="57">
        <f t="shared" si="0"/>
        <v>78.457000000000107</v>
      </c>
      <c r="P46" s="66">
        <f>MAX(I46*1000/'Calculation Constants'!$B$14,O46*10*I46*1000/2/('Calculation Constants'!$B$12*1000*'Calculation Constants'!$B$13))</f>
        <v>11.875</v>
      </c>
      <c r="Q46" s="68">
        <f t="shared" si="1"/>
        <v>1105894.9783427313</v>
      </c>
      <c r="R46" s="27">
        <f>(1/(2*LOG(3.7*$I46/'Calculation Constants'!$B$2*1000)))^2</f>
        <v>8.6699836115820689E-3</v>
      </c>
      <c r="S46" s="19">
        <f t="shared" si="13"/>
        <v>0.96467850809376621</v>
      </c>
      <c r="T46" s="19">
        <f>IF($H46&gt;0,'Calculation Constants'!$B$9*Hydraulics!$K46^2/2/9.81/MAX($F$4:$F$253)*$H46,"")</f>
        <v>6.3421890311175441E-2</v>
      </c>
      <c r="U46" s="19">
        <f t="shared" si="14"/>
        <v>1.0281003984049417</v>
      </c>
      <c r="V46" s="19">
        <f t="shared" si="2"/>
        <v>0</v>
      </c>
      <c r="W46" s="19">
        <f t="shared" si="3"/>
        <v>45.557787251045511</v>
      </c>
      <c r="X46" s="23">
        <f t="shared" si="15"/>
        <v>1078.7707872510455</v>
      </c>
      <c r="Y46" s="22">
        <f>(1/(2*LOG(3.7*$I46/'Calculation Constants'!$B$3*1000)))^2</f>
        <v>9.7303620360708887E-3</v>
      </c>
      <c r="Z46" s="19">
        <f t="shared" si="4"/>
        <v>1.0826630767363397</v>
      </c>
      <c r="AA46" s="19">
        <f>IF($H46&gt;0,'Calculation Constants'!$B$9*Hydraulics!$K46^2/2/9.81/MAX($F$4:$F$253)*$H46,"")</f>
        <v>6.3421890311175441E-2</v>
      </c>
      <c r="AB46" s="19">
        <f t="shared" si="27"/>
        <v>1.1460849670475151</v>
      </c>
      <c r="AC46" s="19">
        <f t="shared" si="5"/>
        <v>0</v>
      </c>
      <c r="AD46" s="19">
        <f t="shared" si="17"/>
        <v>41.782281054480109</v>
      </c>
      <c r="AE46" s="23">
        <f t="shared" si="18"/>
        <v>1074.9952810544801</v>
      </c>
      <c r="AF46" s="27">
        <f>(1/(2*LOG(3.7*$I46/'Calculation Constants'!$B$4*1000)))^2</f>
        <v>1.1458969193927592E-2</v>
      </c>
      <c r="AG46" s="19">
        <f t="shared" si="6"/>
        <v>1.274999100520025</v>
      </c>
      <c r="AH46" s="19">
        <f>IF($H46&gt;0,'Calculation Constants'!$B$9*Hydraulics!$K46^2/2/9.81/MAX($F$4:$F$253)*$H46,"")</f>
        <v>6.3421890311175441E-2</v>
      </c>
      <c r="AI46" s="19">
        <f t="shared" si="19"/>
        <v>1.3384209908312004</v>
      </c>
      <c r="AJ46" s="19">
        <f t="shared" si="7"/>
        <v>0</v>
      </c>
      <c r="AK46" s="19">
        <f t="shared" si="20"/>
        <v>35.6275282933982</v>
      </c>
      <c r="AL46" s="23">
        <f t="shared" si="21"/>
        <v>1068.8405282933982</v>
      </c>
      <c r="AM46" s="22">
        <f>(1/(2*LOG(3.7*($I46-0.008)/'Calculation Constants'!$B$5*1000)))^2</f>
        <v>1.4542845531075887E-2</v>
      </c>
      <c r="AN46" s="19">
        <f t="shared" si="22"/>
        <v>1.6249731396833385</v>
      </c>
      <c r="AO46" s="19">
        <f>IF($H46&gt;0,'Calculation Constants'!$B$9*Hydraulics!$K46^2/2/9.81/MAX($F$4:$F$253)*$H46,"")</f>
        <v>6.3421890311175441E-2</v>
      </c>
      <c r="AP46" s="19">
        <f t="shared" si="23"/>
        <v>1.6883950299945139</v>
      </c>
      <c r="AQ46" s="19">
        <f t="shared" si="8"/>
        <v>0</v>
      </c>
      <c r="AR46" s="19">
        <f t="shared" si="24"/>
        <v>24.428359040173518</v>
      </c>
      <c r="AS46" s="23">
        <f t="shared" si="25"/>
        <v>1057.6413590401735</v>
      </c>
    </row>
    <row r="47" spans="5:45">
      <c r="E47" s="35" t="str">
        <f t="shared" si="9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1.9</v>
      </c>
      <c r="J47" s="36">
        <f>'Flow Rate Calculations'!$B$7</f>
        <v>4.0831050228310497</v>
      </c>
      <c r="K47" s="36">
        <f t="shared" si="10"/>
        <v>1.440102709245225</v>
      </c>
      <c r="L47" s="37">
        <f>$I47*$K47/'Calculation Constants'!$B$7</f>
        <v>2421411.6350140949</v>
      </c>
      <c r="M47" s="37">
        <f t="shared" si="11"/>
        <v>80.481999999999971</v>
      </c>
      <c r="N47" s="23">
        <f t="shared" si="12"/>
        <v>46.554686852640543</v>
      </c>
      <c r="O47" s="57">
        <f t="shared" si="0"/>
        <v>80.481999999999971</v>
      </c>
      <c r="P47" s="66">
        <f>MAX(I47*1000/'Calculation Constants'!$B$14,O47*10*I47*1000/2/('Calculation Constants'!$B$12*1000*'Calculation Constants'!$B$13))</f>
        <v>11.875</v>
      </c>
      <c r="Q47" s="68">
        <f t="shared" si="1"/>
        <v>1105894.9783427313</v>
      </c>
      <c r="R47" s="27">
        <f>(1/(2*LOG(3.7*$I47/'Calculation Constants'!$B$2*1000)))^2</f>
        <v>8.6699836115820689E-3</v>
      </c>
      <c r="S47" s="19">
        <f t="shared" si="13"/>
        <v>0.96467850809376621</v>
      </c>
      <c r="T47" s="19">
        <f>IF($H47&gt;0,'Calculation Constants'!$B$9*Hydraulics!$K47^2/2/9.81/MAX($F$4:$F$253)*$H47,"")</f>
        <v>6.3421890311175441E-2</v>
      </c>
      <c r="U47" s="19">
        <f t="shared" si="14"/>
        <v>1.0281003984049417</v>
      </c>
      <c r="V47" s="19">
        <f t="shared" si="2"/>
        <v>0</v>
      </c>
      <c r="W47" s="19">
        <f t="shared" si="3"/>
        <v>46.554686852640543</v>
      </c>
      <c r="X47" s="23">
        <f t="shared" si="15"/>
        <v>1077.7426868526406</v>
      </c>
      <c r="Y47" s="22">
        <f>(1/(2*LOG(3.7*$I47/'Calculation Constants'!$B$3*1000)))^2</f>
        <v>9.7303620360708887E-3</v>
      </c>
      <c r="Z47" s="19">
        <f t="shared" si="4"/>
        <v>1.0826630767363397</v>
      </c>
      <c r="AA47" s="19">
        <f>IF($H47&gt;0,'Calculation Constants'!$B$9*Hydraulics!$K47^2/2/9.81/MAX($F$4:$F$253)*$H47,"")</f>
        <v>6.3421890311175441E-2</v>
      </c>
      <c r="AB47" s="19">
        <f t="shared" si="27"/>
        <v>1.1460849670475151</v>
      </c>
      <c r="AC47" s="19">
        <f t="shared" si="5"/>
        <v>0</v>
      </c>
      <c r="AD47" s="19">
        <f t="shared" si="17"/>
        <v>42.661196087432472</v>
      </c>
      <c r="AE47" s="23">
        <f t="shared" si="18"/>
        <v>1073.8491960874326</v>
      </c>
      <c r="AF47" s="27">
        <f>(1/(2*LOG(3.7*$I47/'Calculation Constants'!$B$4*1000)))^2</f>
        <v>1.1458969193927592E-2</v>
      </c>
      <c r="AG47" s="19">
        <f t="shared" si="6"/>
        <v>1.274999100520025</v>
      </c>
      <c r="AH47" s="19">
        <f>IF($H47&gt;0,'Calculation Constants'!$B$9*Hydraulics!$K47^2/2/9.81/MAX($F$4:$F$253)*$H47,"")</f>
        <v>6.3421890311175441E-2</v>
      </c>
      <c r="AI47" s="19">
        <f t="shared" si="19"/>
        <v>1.3384209908312004</v>
      </c>
      <c r="AJ47" s="19">
        <f t="shared" si="7"/>
        <v>0</v>
      </c>
      <c r="AK47" s="19">
        <f t="shared" si="20"/>
        <v>36.314107302566754</v>
      </c>
      <c r="AL47" s="23">
        <f t="shared" si="21"/>
        <v>1067.5021073025669</v>
      </c>
      <c r="AM47" s="22">
        <f>(1/(2*LOG(3.7*($I47-0.008)/'Calculation Constants'!$B$5*1000)))^2</f>
        <v>1.4542845531075887E-2</v>
      </c>
      <c r="AN47" s="19">
        <f t="shared" si="22"/>
        <v>1.6249731396833385</v>
      </c>
      <c r="AO47" s="19">
        <f>IF($H47&gt;0,'Calculation Constants'!$B$9*Hydraulics!$K47^2/2/9.81/MAX($F$4:$F$253)*$H47,"")</f>
        <v>6.3421890311175441E-2</v>
      </c>
      <c r="AP47" s="19">
        <f t="shared" si="23"/>
        <v>1.6883950299945139</v>
      </c>
      <c r="AQ47" s="19">
        <f t="shared" si="8"/>
        <v>0</v>
      </c>
      <c r="AR47" s="19">
        <f t="shared" si="24"/>
        <v>24.764964010178801</v>
      </c>
      <c r="AS47" s="23">
        <f t="shared" si="25"/>
        <v>1055.9529640101789</v>
      </c>
    </row>
    <row r="48" spans="5:45">
      <c r="E48" s="35" t="str">
        <f t="shared" si="9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1.9</v>
      </c>
      <c r="J48" s="36">
        <f>'Flow Rate Calculations'!$B$7</f>
        <v>4.0831050228310497</v>
      </c>
      <c r="K48" s="36">
        <f t="shared" si="10"/>
        <v>1.440102709245225</v>
      </c>
      <c r="L48" s="37">
        <f>$I48*$K48/'Calculation Constants'!$B$7</f>
        <v>2421411.6350140949</v>
      </c>
      <c r="M48" s="37">
        <f t="shared" si="11"/>
        <v>82.590000000000146</v>
      </c>
      <c r="N48" s="23">
        <f t="shared" si="12"/>
        <v>47.634586454235887</v>
      </c>
      <c r="O48" s="57">
        <f t="shared" si="0"/>
        <v>82.590000000000146</v>
      </c>
      <c r="P48" s="66">
        <f>MAX(I48*1000/'Calculation Constants'!$B$14,O48*10*I48*1000/2/('Calculation Constants'!$B$12*1000*'Calculation Constants'!$B$13))</f>
        <v>11.875</v>
      </c>
      <c r="Q48" s="68">
        <f t="shared" si="1"/>
        <v>1105894.9783427313</v>
      </c>
      <c r="R48" s="27">
        <f>(1/(2*LOG(3.7*$I48/'Calculation Constants'!$B$2*1000)))^2</f>
        <v>8.6699836115820689E-3</v>
      </c>
      <c r="S48" s="19">
        <f t="shared" si="13"/>
        <v>0.96467850809376621</v>
      </c>
      <c r="T48" s="19">
        <f>IF($H48&gt;0,'Calculation Constants'!$B$9*Hydraulics!$K48^2/2/9.81/MAX($F$4:$F$253)*$H48,"")</f>
        <v>6.3421890311175441E-2</v>
      </c>
      <c r="U48" s="19">
        <f t="shared" si="14"/>
        <v>1.0281003984049417</v>
      </c>
      <c r="V48" s="19">
        <f t="shared" si="2"/>
        <v>0</v>
      </c>
      <c r="W48" s="19">
        <f t="shared" si="3"/>
        <v>47.634586454235887</v>
      </c>
      <c r="X48" s="23">
        <f t="shared" si="15"/>
        <v>1076.7145864542358</v>
      </c>
      <c r="Y48" s="22">
        <f>(1/(2*LOG(3.7*$I48/'Calculation Constants'!$B$3*1000)))^2</f>
        <v>9.7303620360708887E-3</v>
      </c>
      <c r="Z48" s="19">
        <f t="shared" si="4"/>
        <v>1.0826630767363397</v>
      </c>
      <c r="AA48" s="19">
        <f>IF($H48&gt;0,'Calculation Constants'!$B$9*Hydraulics!$K48^2/2/9.81/MAX($F$4:$F$253)*$H48,"")</f>
        <v>6.3421890311175441E-2</v>
      </c>
      <c r="AB48" s="19">
        <f t="shared" si="27"/>
        <v>1.1460849670475151</v>
      </c>
      <c r="AC48" s="19">
        <f t="shared" si="5"/>
        <v>0</v>
      </c>
      <c r="AD48" s="19">
        <f t="shared" si="17"/>
        <v>43.623111120385147</v>
      </c>
      <c r="AE48" s="23">
        <f t="shared" si="18"/>
        <v>1072.7031111203851</v>
      </c>
      <c r="AF48" s="27">
        <f>(1/(2*LOG(3.7*$I48/'Calculation Constants'!$B$4*1000)))^2</f>
        <v>1.1458969193927592E-2</v>
      </c>
      <c r="AG48" s="19">
        <f t="shared" si="6"/>
        <v>1.274999100520025</v>
      </c>
      <c r="AH48" s="19">
        <f>IF($H48&gt;0,'Calculation Constants'!$B$9*Hydraulics!$K48^2/2/9.81/MAX($F$4:$F$253)*$H48,"")</f>
        <v>6.3421890311175441E-2</v>
      </c>
      <c r="AI48" s="19">
        <f t="shared" si="19"/>
        <v>1.3384209908312004</v>
      </c>
      <c r="AJ48" s="19">
        <f t="shared" si="7"/>
        <v>0</v>
      </c>
      <c r="AK48" s="19">
        <f t="shared" si="20"/>
        <v>37.083686311735619</v>
      </c>
      <c r="AL48" s="23">
        <f t="shared" si="21"/>
        <v>1066.1636863117355</v>
      </c>
      <c r="AM48" s="22">
        <f>(1/(2*LOG(3.7*($I48-0.008)/'Calculation Constants'!$B$5*1000)))^2</f>
        <v>1.4542845531075887E-2</v>
      </c>
      <c r="AN48" s="19">
        <f t="shared" si="22"/>
        <v>1.6249731396833385</v>
      </c>
      <c r="AO48" s="19">
        <f>IF($H48&gt;0,'Calculation Constants'!$B$9*Hydraulics!$K48^2/2/9.81/MAX($F$4:$F$253)*$H48,"")</f>
        <v>6.3421890311175441E-2</v>
      </c>
      <c r="AP48" s="19">
        <f t="shared" si="23"/>
        <v>1.6883950299945139</v>
      </c>
      <c r="AQ48" s="19">
        <f t="shared" si="8"/>
        <v>0</v>
      </c>
      <c r="AR48" s="19">
        <f t="shared" si="24"/>
        <v>25.184568980184395</v>
      </c>
      <c r="AS48" s="23">
        <f t="shared" si="25"/>
        <v>1054.2645689801843</v>
      </c>
    </row>
    <row r="49" spans="5:45">
      <c r="E49" s="35" t="str">
        <f t="shared" si="9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1.9</v>
      </c>
      <c r="J49" s="36">
        <f>'Flow Rate Calculations'!$B$7</f>
        <v>4.0831050228310497</v>
      </c>
      <c r="K49" s="36">
        <f t="shared" si="10"/>
        <v>1.440102709245225</v>
      </c>
      <c r="L49" s="37">
        <f>$I49*$K49/'Calculation Constants'!$B$7</f>
        <v>2421411.6350140949</v>
      </c>
      <c r="M49" s="37">
        <f t="shared" si="11"/>
        <v>85.348000000000184</v>
      </c>
      <c r="N49" s="23">
        <f t="shared" si="12"/>
        <v>49.364486055831094</v>
      </c>
      <c r="O49" s="57">
        <f t="shared" si="0"/>
        <v>85.348000000000184</v>
      </c>
      <c r="P49" s="66">
        <f>MAX(I49*1000/'Calculation Constants'!$B$14,O49*10*I49*1000/2/('Calculation Constants'!$B$12*1000*'Calculation Constants'!$B$13))</f>
        <v>11.875</v>
      </c>
      <c r="Q49" s="68">
        <f t="shared" si="1"/>
        <v>1105894.9783427313</v>
      </c>
      <c r="R49" s="27">
        <f>(1/(2*LOG(3.7*$I49/'Calculation Constants'!$B$2*1000)))^2</f>
        <v>8.6699836115820689E-3</v>
      </c>
      <c r="S49" s="19">
        <f t="shared" si="13"/>
        <v>0.96467850809376621</v>
      </c>
      <c r="T49" s="19">
        <f>IF($H49&gt;0,'Calculation Constants'!$B$9*Hydraulics!$K49^2/2/9.81/MAX($F$4:$F$253)*$H49,"")</f>
        <v>6.3421890311175441E-2</v>
      </c>
      <c r="U49" s="19">
        <f t="shared" si="14"/>
        <v>1.0281003984049417</v>
      </c>
      <c r="V49" s="19">
        <f t="shared" si="2"/>
        <v>0</v>
      </c>
      <c r="W49" s="19">
        <f t="shared" si="3"/>
        <v>49.364486055831094</v>
      </c>
      <c r="X49" s="23">
        <f t="shared" si="15"/>
        <v>1075.686486055831</v>
      </c>
      <c r="Y49" s="22">
        <f>(1/(2*LOG(3.7*$I49/'Calculation Constants'!$B$3*1000)))^2</f>
        <v>9.7303620360708887E-3</v>
      </c>
      <c r="Z49" s="19">
        <f t="shared" si="4"/>
        <v>1.0826630767363397</v>
      </c>
      <c r="AA49" s="19">
        <f>IF($H49&gt;0,'Calculation Constants'!$B$9*Hydraulics!$K49^2/2/9.81/MAX($F$4:$F$253)*$H49,"")</f>
        <v>6.3421890311175441E-2</v>
      </c>
      <c r="AB49" s="19">
        <f t="shared" si="27"/>
        <v>1.1460849670475151</v>
      </c>
      <c r="AC49" s="19">
        <f t="shared" si="5"/>
        <v>0</v>
      </c>
      <c r="AD49" s="19">
        <f t="shared" si="17"/>
        <v>45.235026153337685</v>
      </c>
      <c r="AE49" s="23">
        <f t="shared" si="18"/>
        <v>1071.5570261533376</v>
      </c>
      <c r="AF49" s="27">
        <f>(1/(2*LOG(3.7*$I49/'Calculation Constants'!$B$4*1000)))^2</f>
        <v>1.1458969193927592E-2</v>
      </c>
      <c r="AG49" s="19">
        <f t="shared" si="6"/>
        <v>1.274999100520025</v>
      </c>
      <c r="AH49" s="19">
        <f>IF($H49&gt;0,'Calculation Constants'!$B$9*Hydraulics!$K49^2/2/9.81/MAX($F$4:$F$253)*$H49,"")</f>
        <v>6.3421890311175441E-2</v>
      </c>
      <c r="AI49" s="19">
        <f t="shared" si="19"/>
        <v>1.3384209908312004</v>
      </c>
      <c r="AJ49" s="19">
        <f t="shared" si="7"/>
        <v>0</v>
      </c>
      <c r="AK49" s="19">
        <f t="shared" si="20"/>
        <v>38.503265320904347</v>
      </c>
      <c r="AL49" s="23">
        <f t="shared" si="21"/>
        <v>1064.8252653209042</v>
      </c>
      <c r="AM49" s="22">
        <f>(1/(2*LOG(3.7*($I49-0.008)/'Calculation Constants'!$B$5*1000)))^2</f>
        <v>1.4542845531075887E-2</v>
      </c>
      <c r="AN49" s="19">
        <f t="shared" si="22"/>
        <v>1.6249731396833385</v>
      </c>
      <c r="AO49" s="19">
        <f>IF($H49&gt;0,'Calculation Constants'!$B$9*Hydraulics!$K49^2/2/9.81/MAX($F$4:$F$253)*$H49,"")</f>
        <v>6.3421890311175441E-2</v>
      </c>
      <c r="AP49" s="19">
        <f t="shared" si="23"/>
        <v>1.6883950299945139</v>
      </c>
      <c r="AQ49" s="19">
        <f t="shared" si="8"/>
        <v>0</v>
      </c>
      <c r="AR49" s="19">
        <f t="shared" si="24"/>
        <v>26.254173950189852</v>
      </c>
      <c r="AS49" s="23">
        <f t="shared" si="25"/>
        <v>1052.5761739501897</v>
      </c>
    </row>
    <row r="50" spans="5:45">
      <c r="E50" s="35" t="str">
        <f t="shared" si="9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1.9</v>
      </c>
      <c r="J50" s="36">
        <f>'Flow Rate Calculations'!$B$7</f>
        <v>4.0831050228310497</v>
      </c>
      <c r="K50" s="36">
        <f t="shared" si="10"/>
        <v>1.440102709245225</v>
      </c>
      <c r="L50" s="37">
        <f>$I50*$K50/'Calculation Constants'!$B$7</f>
        <v>2421411.6350140949</v>
      </c>
      <c r="M50" s="37">
        <f t="shared" si="11"/>
        <v>88.463000000000079</v>
      </c>
      <c r="N50" s="23">
        <f t="shared" si="12"/>
        <v>51.451385657426158</v>
      </c>
      <c r="O50" s="57">
        <f t="shared" si="0"/>
        <v>88.463000000000079</v>
      </c>
      <c r="P50" s="66">
        <f>MAX(I50*1000/'Calculation Constants'!$B$14,O50*10*I50*1000/2/('Calculation Constants'!$B$12*1000*'Calculation Constants'!$B$13))</f>
        <v>11.875</v>
      </c>
      <c r="Q50" s="68">
        <f t="shared" si="1"/>
        <v>1105894.9783427313</v>
      </c>
      <c r="R50" s="27">
        <f>(1/(2*LOG(3.7*$I50/'Calculation Constants'!$B$2*1000)))^2</f>
        <v>8.6699836115820689E-3</v>
      </c>
      <c r="S50" s="19">
        <f t="shared" si="13"/>
        <v>0.96467850809376621</v>
      </c>
      <c r="T50" s="19">
        <f>IF($H50&gt;0,'Calculation Constants'!$B$9*Hydraulics!$K50^2/2/9.81/MAX($F$4:$F$253)*$H50,"")</f>
        <v>6.3421890311175441E-2</v>
      </c>
      <c r="U50" s="19">
        <f t="shared" si="14"/>
        <v>1.0281003984049417</v>
      </c>
      <c r="V50" s="19">
        <f t="shared" si="2"/>
        <v>0</v>
      </c>
      <c r="W50" s="19">
        <f t="shared" si="3"/>
        <v>51.451385657426158</v>
      </c>
      <c r="X50" s="23">
        <f t="shared" si="15"/>
        <v>1074.6583856574262</v>
      </c>
      <c r="Y50" s="22">
        <f>(1/(2*LOG(3.7*$I50/'Calculation Constants'!$B$3*1000)))^2</f>
        <v>9.7303620360708887E-3</v>
      </c>
      <c r="Z50" s="19">
        <f t="shared" si="4"/>
        <v>1.0826630767363397</v>
      </c>
      <c r="AA50" s="19">
        <f>IF($H50&gt;0,'Calculation Constants'!$B$9*Hydraulics!$K50^2/2/9.81/MAX($F$4:$F$253)*$H50,"")</f>
        <v>6.3421890311175441E-2</v>
      </c>
      <c r="AB50" s="19">
        <f t="shared" si="27"/>
        <v>1.1460849670475151</v>
      </c>
      <c r="AC50" s="19">
        <f t="shared" si="5"/>
        <v>0</v>
      </c>
      <c r="AD50" s="19">
        <f t="shared" si="17"/>
        <v>47.203941186290081</v>
      </c>
      <c r="AE50" s="23">
        <f t="shared" si="18"/>
        <v>1070.4109411862901</v>
      </c>
      <c r="AF50" s="27">
        <f>(1/(2*LOG(3.7*$I50/'Calculation Constants'!$B$4*1000)))^2</f>
        <v>1.1458969193927592E-2</v>
      </c>
      <c r="AG50" s="19">
        <f t="shared" si="6"/>
        <v>1.274999100520025</v>
      </c>
      <c r="AH50" s="19">
        <f>IF($H50&gt;0,'Calculation Constants'!$B$9*Hydraulics!$K50^2/2/9.81/MAX($F$4:$F$253)*$H50,"")</f>
        <v>6.3421890311175441E-2</v>
      </c>
      <c r="AI50" s="19">
        <f t="shared" si="19"/>
        <v>1.3384209908312004</v>
      </c>
      <c r="AJ50" s="19">
        <f t="shared" si="7"/>
        <v>0</v>
      </c>
      <c r="AK50" s="19">
        <f t="shared" si="20"/>
        <v>40.279844330072933</v>
      </c>
      <c r="AL50" s="23">
        <f t="shared" si="21"/>
        <v>1063.4868443300729</v>
      </c>
      <c r="AM50" s="22">
        <f>(1/(2*LOG(3.7*($I50-0.008)/'Calculation Constants'!$B$5*1000)))^2</f>
        <v>1.4542845531075887E-2</v>
      </c>
      <c r="AN50" s="19">
        <f t="shared" si="22"/>
        <v>1.6249731396833385</v>
      </c>
      <c r="AO50" s="19">
        <f>IF($H50&gt;0,'Calculation Constants'!$B$9*Hydraulics!$K50^2/2/9.81/MAX($F$4:$F$253)*$H50,"")</f>
        <v>6.3421890311175441E-2</v>
      </c>
      <c r="AP50" s="19">
        <f t="shared" si="23"/>
        <v>1.6883950299945139</v>
      </c>
      <c r="AQ50" s="19">
        <f t="shared" si="8"/>
        <v>0</v>
      </c>
      <c r="AR50" s="19">
        <f t="shared" si="24"/>
        <v>27.680778920195166</v>
      </c>
      <c r="AS50" s="23">
        <f t="shared" si="25"/>
        <v>1050.8877789201952</v>
      </c>
    </row>
    <row r="51" spans="5:45">
      <c r="E51" s="35" t="str">
        <f t="shared" si="9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1.9</v>
      </c>
      <c r="J51" s="36">
        <f>'Flow Rate Calculations'!$B$7</f>
        <v>4.0831050228310497</v>
      </c>
      <c r="K51" s="36">
        <f t="shared" si="10"/>
        <v>1.440102709245225</v>
      </c>
      <c r="L51" s="37">
        <f>$I51*$K51/'Calculation Constants'!$B$7</f>
        <v>2421411.6350140949</v>
      </c>
      <c r="M51" s="37">
        <f t="shared" si="11"/>
        <v>90.16700000000003</v>
      </c>
      <c r="N51" s="23">
        <f t="shared" si="12"/>
        <v>52.127285259021278</v>
      </c>
      <c r="O51" s="57">
        <f t="shared" si="0"/>
        <v>90.16700000000003</v>
      </c>
      <c r="P51" s="66">
        <f>MAX(I51*1000/'Calculation Constants'!$B$14,O51*10*I51*1000/2/('Calculation Constants'!$B$12*1000*'Calculation Constants'!$B$13))</f>
        <v>11.875</v>
      </c>
      <c r="Q51" s="68">
        <f t="shared" si="1"/>
        <v>1105894.9783427313</v>
      </c>
      <c r="R51" s="27">
        <f>(1/(2*LOG(3.7*$I51/'Calculation Constants'!$B$2*1000)))^2</f>
        <v>8.6699836115820689E-3</v>
      </c>
      <c r="S51" s="19">
        <f t="shared" si="13"/>
        <v>0.96467850809376621</v>
      </c>
      <c r="T51" s="19">
        <f>IF($H51&gt;0,'Calculation Constants'!$B$9*Hydraulics!$K51^2/2/9.81/MAX($F$4:$F$253)*$H51,"")</f>
        <v>6.3421890311175441E-2</v>
      </c>
      <c r="U51" s="19">
        <f t="shared" si="14"/>
        <v>1.0281003984049417</v>
      </c>
      <c r="V51" s="19">
        <f t="shared" si="2"/>
        <v>0</v>
      </c>
      <c r="W51" s="19">
        <f t="shared" si="3"/>
        <v>52.127285259021278</v>
      </c>
      <c r="X51" s="23">
        <f t="shared" si="15"/>
        <v>1073.6302852590213</v>
      </c>
      <c r="Y51" s="22">
        <f>(1/(2*LOG(3.7*$I51/'Calculation Constants'!$B$3*1000)))^2</f>
        <v>9.7303620360708887E-3</v>
      </c>
      <c r="Z51" s="19">
        <f t="shared" si="4"/>
        <v>1.0826630767363397</v>
      </c>
      <c r="AA51" s="19">
        <f>IF($H51&gt;0,'Calculation Constants'!$B$9*Hydraulics!$K51^2/2/9.81/MAX($F$4:$F$253)*$H51,"")</f>
        <v>6.3421890311175441E-2</v>
      </c>
      <c r="AB51" s="19">
        <f t="shared" si="27"/>
        <v>1.1460849670475151</v>
      </c>
      <c r="AC51" s="19">
        <f t="shared" si="5"/>
        <v>0</v>
      </c>
      <c r="AD51" s="19">
        <f t="shared" si="17"/>
        <v>47.761856219242532</v>
      </c>
      <c r="AE51" s="23">
        <f t="shared" si="18"/>
        <v>1069.2648562192426</v>
      </c>
      <c r="AF51" s="27">
        <f>(1/(2*LOG(3.7*$I51/'Calculation Constants'!$B$4*1000)))^2</f>
        <v>1.1458969193927592E-2</v>
      </c>
      <c r="AG51" s="19">
        <f t="shared" si="6"/>
        <v>1.274999100520025</v>
      </c>
      <c r="AH51" s="19">
        <f>IF($H51&gt;0,'Calculation Constants'!$B$9*Hydraulics!$K51^2/2/9.81/MAX($F$4:$F$253)*$H51,"")</f>
        <v>6.3421890311175441E-2</v>
      </c>
      <c r="AI51" s="19">
        <f t="shared" si="19"/>
        <v>1.3384209908312004</v>
      </c>
      <c r="AJ51" s="19">
        <f t="shared" si="7"/>
        <v>0</v>
      </c>
      <c r="AK51" s="19">
        <f t="shared" si="20"/>
        <v>40.645423339241574</v>
      </c>
      <c r="AL51" s="23">
        <f t="shared" si="21"/>
        <v>1062.1484233392416</v>
      </c>
      <c r="AM51" s="22">
        <f>(1/(2*LOG(3.7*($I51-0.008)/'Calculation Constants'!$B$5*1000)))^2</f>
        <v>1.4542845531075887E-2</v>
      </c>
      <c r="AN51" s="19">
        <f t="shared" si="22"/>
        <v>1.6249731396833385</v>
      </c>
      <c r="AO51" s="19">
        <f>IF($H51&gt;0,'Calculation Constants'!$B$9*Hydraulics!$K51^2/2/9.81/MAX($F$4:$F$253)*$H51,"")</f>
        <v>6.3421890311175441E-2</v>
      </c>
      <c r="AP51" s="19">
        <f t="shared" si="23"/>
        <v>1.6883950299945139</v>
      </c>
      <c r="AQ51" s="19">
        <f t="shared" si="8"/>
        <v>0</v>
      </c>
      <c r="AR51" s="19">
        <f t="shared" si="24"/>
        <v>27.696383890200536</v>
      </c>
      <c r="AS51" s="23">
        <f t="shared" si="25"/>
        <v>1049.1993838902006</v>
      </c>
    </row>
    <row r="52" spans="5:45">
      <c r="E52" s="35" t="str">
        <f t="shared" si="9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1.9</v>
      </c>
      <c r="J52" s="36">
        <f>'Flow Rate Calculations'!$B$7</f>
        <v>4.0831050228310497</v>
      </c>
      <c r="K52" s="36">
        <f t="shared" si="10"/>
        <v>1.440102709245225</v>
      </c>
      <c r="L52" s="37">
        <f>$I52*$K52/'Calculation Constants'!$B$7</f>
        <v>2421411.6350140949</v>
      </c>
      <c r="M52" s="37">
        <f t="shared" si="11"/>
        <v>91.905000000000086</v>
      </c>
      <c r="N52" s="23">
        <f t="shared" si="12"/>
        <v>52.837184860616503</v>
      </c>
      <c r="O52" s="57">
        <f t="shared" si="0"/>
        <v>91.905000000000086</v>
      </c>
      <c r="P52" s="66">
        <f>MAX(I52*1000/'Calculation Constants'!$B$14,O52*10*I52*1000/2/('Calculation Constants'!$B$12*1000*'Calculation Constants'!$B$13))</f>
        <v>11.875</v>
      </c>
      <c r="Q52" s="68">
        <f t="shared" si="1"/>
        <v>1105894.9783427313</v>
      </c>
      <c r="R52" s="27">
        <f>(1/(2*LOG(3.7*$I52/'Calculation Constants'!$B$2*1000)))^2</f>
        <v>8.6699836115820689E-3</v>
      </c>
      <c r="S52" s="19">
        <f t="shared" si="13"/>
        <v>0.96467850809376621</v>
      </c>
      <c r="T52" s="19">
        <f>IF($H52&gt;0,'Calculation Constants'!$B$9*Hydraulics!$K52^2/2/9.81/MAX($F$4:$F$253)*$H52,"")</f>
        <v>6.3421890311175441E-2</v>
      </c>
      <c r="U52" s="19">
        <f t="shared" si="14"/>
        <v>1.0281003984049417</v>
      </c>
      <c r="V52" s="19">
        <f t="shared" si="2"/>
        <v>0</v>
      </c>
      <c r="W52" s="19">
        <f t="shared" si="3"/>
        <v>52.837184860616503</v>
      </c>
      <c r="X52" s="23">
        <f t="shared" si="15"/>
        <v>1072.6021848606165</v>
      </c>
      <c r="Y52" s="22">
        <f>(1/(2*LOG(3.7*$I52/'Calculation Constants'!$B$3*1000)))^2</f>
        <v>9.7303620360708887E-3</v>
      </c>
      <c r="Z52" s="19">
        <f t="shared" si="4"/>
        <v>1.0826630767363397</v>
      </c>
      <c r="AA52" s="19">
        <f>IF($H52&gt;0,'Calculation Constants'!$B$9*Hydraulics!$K52^2/2/9.81/MAX($F$4:$F$253)*$H52,"")</f>
        <v>6.3421890311175441E-2</v>
      </c>
      <c r="AB52" s="19">
        <f t="shared" si="27"/>
        <v>1.1460849670475151</v>
      </c>
      <c r="AC52" s="19">
        <f t="shared" si="5"/>
        <v>0</v>
      </c>
      <c r="AD52" s="19">
        <f t="shared" si="17"/>
        <v>48.353771252195088</v>
      </c>
      <c r="AE52" s="23">
        <f t="shared" si="18"/>
        <v>1068.1187712521951</v>
      </c>
      <c r="AF52" s="27">
        <f>(1/(2*LOG(3.7*$I52/'Calculation Constants'!$B$4*1000)))^2</f>
        <v>1.1458969193927592E-2</v>
      </c>
      <c r="AG52" s="19">
        <f t="shared" si="6"/>
        <v>1.274999100520025</v>
      </c>
      <c r="AH52" s="19">
        <f>IF($H52&gt;0,'Calculation Constants'!$B$9*Hydraulics!$K52^2/2/9.81/MAX($F$4:$F$253)*$H52,"")</f>
        <v>6.3421890311175441E-2</v>
      </c>
      <c r="AI52" s="19">
        <f t="shared" si="19"/>
        <v>1.3384209908312004</v>
      </c>
      <c r="AJ52" s="19">
        <f t="shared" si="7"/>
        <v>0</v>
      </c>
      <c r="AK52" s="19">
        <f t="shared" si="20"/>
        <v>41.045002348410321</v>
      </c>
      <c r="AL52" s="23">
        <f t="shared" si="21"/>
        <v>1060.8100023484103</v>
      </c>
      <c r="AM52" s="22">
        <f>(1/(2*LOG(3.7*($I52-0.008)/'Calculation Constants'!$B$5*1000)))^2</f>
        <v>1.4542845531075887E-2</v>
      </c>
      <c r="AN52" s="19">
        <f t="shared" si="22"/>
        <v>1.6249731396833385</v>
      </c>
      <c r="AO52" s="19">
        <f>IF($H52&gt;0,'Calculation Constants'!$B$9*Hydraulics!$K52^2/2/9.81/MAX($F$4:$F$253)*$H52,"")</f>
        <v>6.3421890311175441E-2</v>
      </c>
      <c r="AP52" s="19">
        <f t="shared" si="23"/>
        <v>1.6883950299945139</v>
      </c>
      <c r="AQ52" s="19">
        <f t="shared" si="8"/>
        <v>0</v>
      </c>
      <c r="AR52" s="19">
        <f t="shared" si="24"/>
        <v>27.745988860206012</v>
      </c>
      <c r="AS52" s="23">
        <f t="shared" si="25"/>
        <v>1047.510988860206</v>
      </c>
    </row>
    <row r="53" spans="5:45">
      <c r="E53" s="35" t="str">
        <f t="shared" si="9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1.9</v>
      </c>
      <c r="J53" s="36">
        <f>'Flow Rate Calculations'!$B$7</f>
        <v>4.0831050228310497</v>
      </c>
      <c r="K53" s="36">
        <f t="shared" si="10"/>
        <v>1.440102709245225</v>
      </c>
      <c r="L53" s="37">
        <f>$I53*$K53/'Calculation Constants'!$B$7</f>
        <v>2421411.6350140949</v>
      </c>
      <c r="M53" s="37">
        <f t="shared" si="11"/>
        <v>93.177000000000021</v>
      </c>
      <c r="N53" s="23">
        <f t="shared" si="12"/>
        <v>53.081084462211606</v>
      </c>
      <c r="O53" s="57">
        <f t="shared" si="0"/>
        <v>93.177000000000021</v>
      </c>
      <c r="P53" s="66">
        <f>MAX(I53*1000/'Calculation Constants'!$B$14,O53*10*I53*1000/2/('Calculation Constants'!$B$12*1000*'Calculation Constants'!$B$13))</f>
        <v>11.875</v>
      </c>
      <c r="Q53" s="68">
        <f t="shared" si="1"/>
        <v>1105894.9783427313</v>
      </c>
      <c r="R53" s="27">
        <f>(1/(2*LOG(3.7*$I53/'Calculation Constants'!$B$2*1000)))^2</f>
        <v>8.6699836115820689E-3</v>
      </c>
      <c r="S53" s="19">
        <f t="shared" si="13"/>
        <v>0.96467850809376621</v>
      </c>
      <c r="T53" s="19">
        <f>IF($H53&gt;0,'Calculation Constants'!$B$9*Hydraulics!$K53^2/2/9.81/MAX($F$4:$F$253)*$H53,"")</f>
        <v>6.3421890311175441E-2</v>
      </c>
      <c r="U53" s="19">
        <f t="shared" si="14"/>
        <v>1.0281003984049417</v>
      </c>
      <c r="V53" s="19">
        <f t="shared" si="2"/>
        <v>0</v>
      </c>
      <c r="W53" s="19">
        <f t="shared" si="3"/>
        <v>53.081084462211606</v>
      </c>
      <c r="X53" s="23">
        <f t="shared" si="15"/>
        <v>1071.5740844622117</v>
      </c>
      <c r="Y53" s="22">
        <f>(1/(2*LOG(3.7*$I53/'Calculation Constants'!$B$3*1000)))^2</f>
        <v>9.7303620360708887E-3</v>
      </c>
      <c r="Z53" s="19">
        <f t="shared" si="4"/>
        <v>1.0826630767363397</v>
      </c>
      <c r="AA53" s="19">
        <f>IF($H53&gt;0,'Calculation Constants'!$B$9*Hydraulics!$K53^2/2/9.81/MAX($F$4:$F$253)*$H53,"")</f>
        <v>6.3421890311175441E-2</v>
      </c>
      <c r="AB53" s="19">
        <f t="shared" si="27"/>
        <v>1.1460849670475151</v>
      </c>
      <c r="AC53" s="19">
        <f t="shared" si="5"/>
        <v>0</v>
      </c>
      <c r="AD53" s="19">
        <f t="shared" si="17"/>
        <v>48.479686285147523</v>
      </c>
      <c r="AE53" s="23">
        <f t="shared" si="18"/>
        <v>1066.9726862851476</v>
      </c>
      <c r="AF53" s="27">
        <f>(1/(2*LOG(3.7*$I53/'Calculation Constants'!$B$4*1000)))^2</f>
        <v>1.1458969193927592E-2</v>
      </c>
      <c r="AG53" s="19">
        <f t="shared" si="6"/>
        <v>1.274999100520025</v>
      </c>
      <c r="AH53" s="19">
        <f>IF($H53&gt;0,'Calculation Constants'!$B$9*Hydraulics!$K53^2/2/9.81/MAX($F$4:$F$253)*$H53,"")</f>
        <v>6.3421890311175441E-2</v>
      </c>
      <c r="AI53" s="19">
        <f t="shared" si="19"/>
        <v>1.3384209908312004</v>
      </c>
      <c r="AJ53" s="19">
        <f t="shared" si="7"/>
        <v>0</v>
      </c>
      <c r="AK53" s="19">
        <f t="shared" si="20"/>
        <v>40.978581357578946</v>
      </c>
      <c r="AL53" s="23">
        <f t="shared" si="21"/>
        <v>1059.471581357579</v>
      </c>
      <c r="AM53" s="22">
        <f>(1/(2*LOG(3.7*($I53-0.008)/'Calculation Constants'!$B$5*1000)))^2</f>
        <v>1.4542845531075887E-2</v>
      </c>
      <c r="AN53" s="19">
        <f t="shared" si="22"/>
        <v>1.6249731396833385</v>
      </c>
      <c r="AO53" s="19">
        <f>IF($H53&gt;0,'Calculation Constants'!$B$9*Hydraulics!$K53^2/2/9.81/MAX($F$4:$F$253)*$H53,"")</f>
        <v>6.3421890311175441E-2</v>
      </c>
      <c r="AP53" s="19">
        <f t="shared" si="23"/>
        <v>1.6883950299945139</v>
      </c>
      <c r="AQ53" s="19">
        <f t="shared" si="8"/>
        <v>0</v>
      </c>
      <c r="AR53" s="19">
        <f t="shared" si="24"/>
        <v>27.329593830211365</v>
      </c>
      <c r="AS53" s="23">
        <f t="shared" si="25"/>
        <v>1045.8225938302114</v>
      </c>
    </row>
    <row r="54" spans="5:45">
      <c r="E54" s="35" t="str">
        <f t="shared" si="9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1.9</v>
      </c>
      <c r="J54" s="36">
        <f>'Flow Rate Calculations'!$B$7</f>
        <v>4.0831050228310497</v>
      </c>
      <c r="K54" s="36">
        <f t="shared" si="10"/>
        <v>1.440102709245225</v>
      </c>
      <c r="L54" s="37">
        <f>$I54*$K54/'Calculation Constants'!$B$7</f>
        <v>2421411.6350140949</v>
      </c>
      <c r="M54" s="37">
        <f t="shared" si="11"/>
        <v>95.226000000000113</v>
      </c>
      <c r="N54" s="23">
        <f t="shared" si="12"/>
        <v>54.101984063806867</v>
      </c>
      <c r="O54" s="57">
        <f t="shared" si="0"/>
        <v>95.226000000000113</v>
      </c>
      <c r="P54" s="66">
        <f>MAX(I54*1000/'Calculation Constants'!$B$14,O54*10*I54*1000/2/('Calculation Constants'!$B$12*1000*'Calculation Constants'!$B$13))</f>
        <v>11.875</v>
      </c>
      <c r="Q54" s="68">
        <f t="shared" si="1"/>
        <v>1105894.9783427313</v>
      </c>
      <c r="R54" s="27">
        <f>(1/(2*LOG(3.7*$I54/'Calculation Constants'!$B$2*1000)))^2</f>
        <v>8.6699836115820689E-3</v>
      </c>
      <c r="S54" s="19">
        <f t="shared" si="13"/>
        <v>0.96467850809376621</v>
      </c>
      <c r="T54" s="19">
        <f>IF($H54&gt;0,'Calculation Constants'!$B$9*Hydraulics!$K54^2/2/9.81/MAX($F$4:$F$253)*$H54,"")</f>
        <v>6.3421890311175441E-2</v>
      </c>
      <c r="U54" s="19">
        <f t="shared" si="14"/>
        <v>1.0281003984049417</v>
      </c>
      <c r="V54" s="19">
        <f t="shared" si="2"/>
        <v>0</v>
      </c>
      <c r="W54" s="19">
        <f t="shared" si="3"/>
        <v>54.101984063806867</v>
      </c>
      <c r="X54" s="23">
        <f t="shared" si="15"/>
        <v>1070.5459840638068</v>
      </c>
      <c r="Y54" s="22">
        <f>(1/(2*LOG(3.7*$I54/'Calculation Constants'!$B$3*1000)))^2</f>
        <v>9.7303620360708887E-3</v>
      </c>
      <c r="Z54" s="19">
        <f t="shared" si="4"/>
        <v>1.0826630767363397</v>
      </c>
      <c r="AA54" s="19">
        <f>IF($H54&gt;0,'Calculation Constants'!$B$9*Hydraulics!$K54^2/2/9.81/MAX($F$4:$F$253)*$H54,"")</f>
        <v>6.3421890311175441E-2</v>
      </c>
      <c r="AB54" s="19">
        <f t="shared" si="27"/>
        <v>1.1460849670475151</v>
      </c>
      <c r="AC54" s="19">
        <f t="shared" si="5"/>
        <v>0</v>
      </c>
      <c r="AD54" s="19">
        <f t="shared" si="17"/>
        <v>49.382601318100114</v>
      </c>
      <c r="AE54" s="23">
        <f t="shared" si="18"/>
        <v>1065.8266013181001</v>
      </c>
      <c r="AF54" s="27">
        <f>(1/(2*LOG(3.7*$I54/'Calculation Constants'!$B$4*1000)))^2</f>
        <v>1.1458969193927592E-2</v>
      </c>
      <c r="AG54" s="19">
        <f t="shared" si="6"/>
        <v>1.274999100520025</v>
      </c>
      <c r="AH54" s="19">
        <f>IF($H54&gt;0,'Calculation Constants'!$B$9*Hydraulics!$K54^2/2/9.81/MAX($F$4:$F$253)*$H54,"")</f>
        <v>6.3421890311175441E-2</v>
      </c>
      <c r="AI54" s="19">
        <f t="shared" si="19"/>
        <v>1.3384209908312004</v>
      </c>
      <c r="AJ54" s="19">
        <f t="shared" si="7"/>
        <v>0</v>
      </c>
      <c r="AK54" s="19">
        <f t="shared" si="20"/>
        <v>41.689160366747728</v>
      </c>
      <c r="AL54" s="23">
        <f t="shared" si="21"/>
        <v>1058.1331603667477</v>
      </c>
      <c r="AM54" s="22">
        <f>(1/(2*LOG(3.7*($I54-0.008)/'Calculation Constants'!$B$5*1000)))^2</f>
        <v>1.4542845531075887E-2</v>
      </c>
      <c r="AN54" s="19">
        <f t="shared" si="22"/>
        <v>1.6249731396833385</v>
      </c>
      <c r="AO54" s="19">
        <f>IF($H54&gt;0,'Calculation Constants'!$B$9*Hydraulics!$K54^2/2/9.81/MAX($F$4:$F$253)*$H54,"")</f>
        <v>6.3421890311175441E-2</v>
      </c>
      <c r="AP54" s="19">
        <f t="shared" si="23"/>
        <v>1.6883950299945139</v>
      </c>
      <c r="AQ54" s="19">
        <f t="shared" si="8"/>
        <v>0</v>
      </c>
      <c r="AR54" s="19">
        <f t="shared" si="24"/>
        <v>27.690198800216876</v>
      </c>
      <c r="AS54" s="23">
        <f t="shared" si="25"/>
        <v>1044.1341988002168</v>
      </c>
    </row>
    <row r="55" spans="5:45">
      <c r="E55" s="35" t="str">
        <f t="shared" si="9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1.9</v>
      </c>
      <c r="J55" s="36">
        <f>'Flow Rate Calculations'!$B$7</f>
        <v>4.0831050228310497</v>
      </c>
      <c r="K55" s="36">
        <f t="shared" si="10"/>
        <v>1.440102709245225</v>
      </c>
      <c r="L55" s="37">
        <f>$I55*$K55/'Calculation Constants'!$B$7</f>
        <v>2421411.6350140949</v>
      </c>
      <c r="M55" s="37">
        <f t="shared" si="11"/>
        <v>98.382000000000062</v>
      </c>
      <c r="N55" s="23">
        <f t="shared" si="12"/>
        <v>56.229883665401985</v>
      </c>
      <c r="O55" s="57">
        <f t="shared" si="0"/>
        <v>98.382000000000062</v>
      </c>
      <c r="P55" s="66">
        <f>MAX(I55*1000/'Calculation Constants'!$B$14,O55*10*I55*1000/2/('Calculation Constants'!$B$12*1000*'Calculation Constants'!$B$13))</f>
        <v>11.875</v>
      </c>
      <c r="Q55" s="68">
        <f t="shared" si="1"/>
        <v>1105894.9783427313</v>
      </c>
      <c r="R55" s="27">
        <f>(1/(2*LOG(3.7*$I55/'Calculation Constants'!$B$2*1000)))^2</f>
        <v>8.6699836115820689E-3</v>
      </c>
      <c r="S55" s="19">
        <f t="shared" si="13"/>
        <v>0.96467850809376621</v>
      </c>
      <c r="T55" s="19">
        <f>IF($H55&gt;0,'Calculation Constants'!$B$9*Hydraulics!$K55^2/2/9.81/MAX($F$4:$F$253)*$H55,"")</f>
        <v>6.3421890311175441E-2</v>
      </c>
      <c r="U55" s="19">
        <f t="shared" si="14"/>
        <v>1.0281003984049417</v>
      </c>
      <c r="V55" s="19">
        <f t="shared" si="2"/>
        <v>0</v>
      </c>
      <c r="W55" s="19">
        <f t="shared" si="3"/>
        <v>56.229883665401985</v>
      </c>
      <c r="X55" s="23">
        <f t="shared" si="15"/>
        <v>1069.517883665402</v>
      </c>
      <c r="Y55" s="22">
        <f>(1/(2*LOG(3.7*$I55/'Calculation Constants'!$B$3*1000)))^2</f>
        <v>9.7303620360708887E-3</v>
      </c>
      <c r="Z55" s="19">
        <f t="shared" si="4"/>
        <v>1.0826630767363397</v>
      </c>
      <c r="AA55" s="19">
        <f>IF($H55&gt;0,'Calculation Constants'!$B$9*Hydraulics!$K55^2/2/9.81/MAX($F$4:$F$253)*$H55,"")</f>
        <v>6.3421890311175441E-2</v>
      </c>
      <c r="AB55" s="19">
        <f t="shared" si="27"/>
        <v>1.1460849670475151</v>
      </c>
      <c r="AC55" s="19">
        <f t="shared" si="5"/>
        <v>0</v>
      </c>
      <c r="AD55" s="19">
        <f t="shared" si="17"/>
        <v>51.392516351052564</v>
      </c>
      <c r="AE55" s="23">
        <f t="shared" si="18"/>
        <v>1064.6805163510526</v>
      </c>
      <c r="AF55" s="27">
        <f>(1/(2*LOG(3.7*$I55/'Calculation Constants'!$B$4*1000)))^2</f>
        <v>1.1458969193927592E-2</v>
      </c>
      <c r="AG55" s="19">
        <f t="shared" si="6"/>
        <v>1.274999100520025</v>
      </c>
      <c r="AH55" s="19">
        <f>IF($H55&gt;0,'Calculation Constants'!$B$9*Hydraulics!$K55^2/2/9.81/MAX($F$4:$F$253)*$H55,"")</f>
        <v>6.3421890311175441E-2</v>
      </c>
      <c r="AI55" s="19">
        <f t="shared" si="19"/>
        <v>1.3384209908312004</v>
      </c>
      <c r="AJ55" s="19">
        <f t="shared" si="7"/>
        <v>0</v>
      </c>
      <c r="AK55" s="19">
        <f t="shared" si="20"/>
        <v>43.506739375916368</v>
      </c>
      <c r="AL55" s="23">
        <f t="shared" si="21"/>
        <v>1056.7947393759164</v>
      </c>
      <c r="AM55" s="22">
        <f>(1/(2*LOG(3.7*($I55-0.008)/'Calculation Constants'!$B$5*1000)))^2</f>
        <v>1.4542845531075887E-2</v>
      </c>
      <c r="AN55" s="19">
        <f t="shared" si="22"/>
        <v>1.6249731396833385</v>
      </c>
      <c r="AO55" s="19">
        <f>IF($H55&gt;0,'Calculation Constants'!$B$9*Hydraulics!$K55^2/2/9.81/MAX($F$4:$F$253)*$H55,"")</f>
        <v>6.3421890311175441E-2</v>
      </c>
      <c r="AP55" s="19">
        <f t="shared" si="23"/>
        <v>1.6883950299945139</v>
      </c>
      <c r="AQ55" s="19">
        <f t="shared" si="8"/>
        <v>0</v>
      </c>
      <c r="AR55" s="19">
        <f t="shared" si="24"/>
        <v>29.157803770222245</v>
      </c>
      <c r="AS55" s="23">
        <f t="shared" si="25"/>
        <v>1042.4458037702223</v>
      </c>
    </row>
    <row r="56" spans="5:45">
      <c r="E56" s="35" t="str">
        <f t="shared" si="9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1.9</v>
      </c>
      <c r="J56" s="36">
        <f>'Flow Rate Calculations'!$B$7</f>
        <v>4.0831050228310497</v>
      </c>
      <c r="K56" s="36">
        <f t="shared" si="10"/>
        <v>1.440102709245225</v>
      </c>
      <c r="L56" s="37">
        <f>$I56*$K56/'Calculation Constants'!$B$7</f>
        <v>2421411.6350140949</v>
      </c>
      <c r="M56" s="37">
        <f t="shared" si="11"/>
        <v>103.82700000000011</v>
      </c>
      <c r="N56" s="23">
        <f t="shared" si="12"/>
        <v>60.646783266997204</v>
      </c>
      <c r="O56" s="57">
        <f t="shared" si="0"/>
        <v>103.82700000000011</v>
      </c>
      <c r="P56" s="66">
        <f>MAX(I56*1000/'Calculation Constants'!$B$14,O56*10*I56*1000/2/('Calculation Constants'!$B$12*1000*'Calculation Constants'!$B$13))</f>
        <v>11.875</v>
      </c>
      <c r="Q56" s="68">
        <f t="shared" si="1"/>
        <v>1105894.9783427313</v>
      </c>
      <c r="R56" s="27">
        <f>(1/(2*LOG(3.7*$I56/'Calculation Constants'!$B$2*1000)))^2</f>
        <v>8.6699836115820689E-3</v>
      </c>
      <c r="S56" s="19">
        <f t="shared" si="13"/>
        <v>0.96467850809376621</v>
      </c>
      <c r="T56" s="19">
        <f>IF($H56&gt;0,'Calculation Constants'!$B$9*Hydraulics!$K56^2/2/9.81/MAX($F$4:$F$253)*$H56,"")</f>
        <v>6.3421890311175441E-2</v>
      </c>
      <c r="U56" s="19">
        <f t="shared" si="14"/>
        <v>1.0281003984049417</v>
      </c>
      <c r="V56" s="19">
        <f t="shared" si="2"/>
        <v>0</v>
      </c>
      <c r="W56" s="19">
        <f t="shared" si="3"/>
        <v>60.646783266997204</v>
      </c>
      <c r="X56" s="23">
        <f t="shared" si="15"/>
        <v>1068.4897832669972</v>
      </c>
      <c r="Y56" s="22">
        <f>(1/(2*LOG(3.7*$I56/'Calculation Constants'!$B$3*1000)))^2</f>
        <v>9.7303620360708887E-3</v>
      </c>
      <c r="Z56" s="19">
        <f t="shared" si="4"/>
        <v>1.0826630767363397</v>
      </c>
      <c r="AA56" s="19">
        <f>IF($H56&gt;0,'Calculation Constants'!$B$9*Hydraulics!$K56^2/2/9.81/MAX($F$4:$F$253)*$H56,"")</f>
        <v>6.3421890311175441E-2</v>
      </c>
      <c r="AB56" s="19">
        <f t="shared" si="27"/>
        <v>1.1460849670475151</v>
      </c>
      <c r="AC56" s="19">
        <f t="shared" si="5"/>
        <v>0</v>
      </c>
      <c r="AD56" s="19">
        <f t="shared" si="17"/>
        <v>55.691431384005114</v>
      </c>
      <c r="AE56" s="23">
        <f t="shared" si="18"/>
        <v>1063.5344313840051</v>
      </c>
      <c r="AF56" s="27">
        <f>(1/(2*LOG(3.7*$I56/'Calculation Constants'!$B$4*1000)))^2</f>
        <v>1.1458969193927592E-2</v>
      </c>
      <c r="AG56" s="19">
        <f t="shared" si="6"/>
        <v>1.274999100520025</v>
      </c>
      <c r="AH56" s="19">
        <f>IF($H56&gt;0,'Calculation Constants'!$B$9*Hydraulics!$K56^2/2/9.81/MAX($F$4:$F$253)*$H56,"")</f>
        <v>6.3421890311175441E-2</v>
      </c>
      <c r="AI56" s="19">
        <f t="shared" si="19"/>
        <v>1.3384209908312004</v>
      </c>
      <c r="AJ56" s="19">
        <f t="shared" si="7"/>
        <v>0</v>
      </c>
      <c r="AK56" s="19">
        <f t="shared" si="20"/>
        <v>47.613318385085108</v>
      </c>
      <c r="AL56" s="23">
        <f t="shared" si="21"/>
        <v>1055.4563183850851</v>
      </c>
      <c r="AM56" s="22">
        <f>(1/(2*LOG(3.7*($I56-0.008)/'Calculation Constants'!$B$5*1000)))^2</f>
        <v>1.4542845531075887E-2</v>
      </c>
      <c r="AN56" s="19">
        <f t="shared" si="22"/>
        <v>1.6249731396833385</v>
      </c>
      <c r="AO56" s="19">
        <f>IF($H56&gt;0,'Calculation Constants'!$B$9*Hydraulics!$K56^2/2/9.81/MAX($F$4:$F$253)*$H56,"")</f>
        <v>6.3421890311175441E-2</v>
      </c>
      <c r="AP56" s="19">
        <f t="shared" si="23"/>
        <v>1.6883950299945139</v>
      </c>
      <c r="AQ56" s="19">
        <f t="shared" si="8"/>
        <v>0</v>
      </c>
      <c r="AR56" s="19">
        <f t="shared" si="24"/>
        <v>32.914408740227714</v>
      </c>
      <c r="AS56" s="23">
        <f t="shared" si="25"/>
        <v>1040.7574087402277</v>
      </c>
    </row>
    <row r="57" spans="5:45">
      <c r="E57" s="35" t="str">
        <f t="shared" si="9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1.9</v>
      </c>
      <c r="J57" s="36">
        <f>'Flow Rate Calculations'!$B$7</f>
        <v>4.0831050228310497</v>
      </c>
      <c r="K57" s="36">
        <f t="shared" si="10"/>
        <v>1.440102709245225</v>
      </c>
      <c r="L57" s="37">
        <f>$I57*$K57/'Calculation Constants'!$B$7</f>
        <v>2421411.6350140949</v>
      </c>
      <c r="M57" s="37">
        <f t="shared" si="11"/>
        <v>110.38800000000003</v>
      </c>
      <c r="N57" s="23">
        <f t="shared" si="12"/>
        <v>66.179682868592295</v>
      </c>
      <c r="O57" s="57">
        <f t="shared" si="0"/>
        <v>110.38800000000003</v>
      </c>
      <c r="P57" s="66">
        <f>MAX(I57*1000/'Calculation Constants'!$B$14,O57*10*I57*1000/2/('Calculation Constants'!$B$12*1000*'Calculation Constants'!$B$13))</f>
        <v>11.875</v>
      </c>
      <c r="Q57" s="68">
        <f t="shared" si="1"/>
        <v>1105894.9783427313</v>
      </c>
      <c r="R57" s="27">
        <f>(1/(2*LOG(3.7*$I57/'Calculation Constants'!$B$2*1000)))^2</f>
        <v>8.6699836115820689E-3</v>
      </c>
      <c r="S57" s="19">
        <f t="shared" si="13"/>
        <v>0.96467850809376621</v>
      </c>
      <c r="T57" s="19">
        <f>IF($H57&gt;0,'Calculation Constants'!$B$9*Hydraulics!$K57^2/2/9.81/MAX($F$4:$F$253)*$H57,"")</f>
        <v>6.3421890311175441E-2</v>
      </c>
      <c r="U57" s="19">
        <f t="shared" si="14"/>
        <v>1.0281003984049417</v>
      </c>
      <c r="V57" s="19">
        <f t="shared" si="2"/>
        <v>0</v>
      </c>
      <c r="W57" s="19">
        <f t="shared" si="3"/>
        <v>66.179682868592295</v>
      </c>
      <c r="X57" s="23">
        <f t="shared" si="15"/>
        <v>1067.4616828685923</v>
      </c>
      <c r="Y57" s="22">
        <f>(1/(2*LOG(3.7*$I57/'Calculation Constants'!$B$3*1000)))^2</f>
        <v>9.7303620360708887E-3</v>
      </c>
      <c r="Z57" s="19">
        <f t="shared" si="4"/>
        <v>1.0826630767363397</v>
      </c>
      <c r="AA57" s="19">
        <f>IF($H57&gt;0,'Calculation Constants'!$B$9*Hydraulics!$K57^2/2/9.81/MAX($F$4:$F$253)*$H57,"")</f>
        <v>6.3421890311175441E-2</v>
      </c>
      <c r="AB57" s="19">
        <f t="shared" si="27"/>
        <v>1.1460849670475151</v>
      </c>
      <c r="AC57" s="19">
        <f t="shared" si="5"/>
        <v>0</v>
      </c>
      <c r="AD57" s="19">
        <f t="shared" si="17"/>
        <v>61.106346416957535</v>
      </c>
      <c r="AE57" s="23">
        <f t="shared" si="18"/>
        <v>1062.3883464169576</v>
      </c>
      <c r="AF57" s="27">
        <f>(1/(2*LOG(3.7*$I57/'Calculation Constants'!$B$4*1000)))^2</f>
        <v>1.1458969193927592E-2</v>
      </c>
      <c r="AG57" s="19">
        <f t="shared" si="6"/>
        <v>1.274999100520025</v>
      </c>
      <c r="AH57" s="19">
        <f>IF($H57&gt;0,'Calculation Constants'!$B$9*Hydraulics!$K57^2/2/9.81/MAX($F$4:$F$253)*$H57,"")</f>
        <v>6.3421890311175441E-2</v>
      </c>
      <c r="AI57" s="19">
        <f t="shared" si="19"/>
        <v>1.3384209908312004</v>
      </c>
      <c r="AJ57" s="19">
        <f t="shared" si="7"/>
        <v>0</v>
      </c>
      <c r="AK57" s="19">
        <f t="shared" si="20"/>
        <v>52.83589739425372</v>
      </c>
      <c r="AL57" s="23">
        <f t="shared" si="21"/>
        <v>1054.1178973942538</v>
      </c>
      <c r="AM57" s="22">
        <f>(1/(2*LOG(3.7*($I57-0.008)/'Calculation Constants'!$B$5*1000)))^2</f>
        <v>1.4542845531075887E-2</v>
      </c>
      <c r="AN57" s="19">
        <f t="shared" si="22"/>
        <v>1.6249731396833385</v>
      </c>
      <c r="AO57" s="19">
        <f>IF($H57&gt;0,'Calculation Constants'!$B$9*Hydraulics!$K57^2/2/9.81/MAX($F$4:$F$253)*$H57,"")</f>
        <v>6.3421890311175441E-2</v>
      </c>
      <c r="AP57" s="19">
        <f t="shared" si="23"/>
        <v>1.6883950299945139</v>
      </c>
      <c r="AQ57" s="19">
        <f t="shared" si="8"/>
        <v>0</v>
      </c>
      <c r="AR57" s="19">
        <f t="shared" si="24"/>
        <v>37.787013710233055</v>
      </c>
      <c r="AS57" s="23">
        <f t="shared" si="25"/>
        <v>1039.0690137102331</v>
      </c>
    </row>
    <row r="58" spans="5:45">
      <c r="E58" s="35" t="str">
        <f t="shared" si="9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1.9</v>
      </c>
      <c r="J58" s="36">
        <f>'Flow Rate Calculations'!$B$7</f>
        <v>4.0831050228310497</v>
      </c>
      <c r="K58" s="36">
        <f t="shared" si="10"/>
        <v>1.440102709245225</v>
      </c>
      <c r="L58" s="37">
        <f>$I58*$K58/'Calculation Constants'!$B$7</f>
        <v>2421411.6350140949</v>
      </c>
      <c r="M58" s="37">
        <f t="shared" si="11"/>
        <v>115.06100000000004</v>
      </c>
      <c r="N58" s="23">
        <f t="shared" si="12"/>
        <v>69.824582470187465</v>
      </c>
      <c r="O58" s="57">
        <f t="shared" si="0"/>
        <v>115.06100000000004</v>
      </c>
      <c r="P58" s="66">
        <f>MAX(I58*1000/'Calculation Constants'!$B$14,O58*10*I58*1000/2/('Calculation Constants'!$B$12*1000*'Calculation Constants'!$B$13))</f>
        <v>11.875</v>
      </c>
      <c r="Q58" s="68">
        <f t="shared" si="1"/>
        <v>1105894.9783427313</v>
      </c>
      <c r="R58" s="27">
        <f>(1/(2*LOG(3.7*$I58/'Calculation Constants'!$B$2*1000)))^2</f>
        <v>8.6699836115820689E-3</v>
      </c>
      <c r="S58" s="19">
        <f t="shared" si="13"/>
        <v>0.96467850809376621</v>
      </c>
      <c r="T58" s="19">
        <f>IF($H58&gt;0,'Calculation Constants'!$B$9*Hydraulics!$K58^2/2/9.81/MAX($F$4:$F$253)*$H58,"")</f>
        <v>6.3421890311175441E-2</v>
      </c>
      <c r="U58" s="19">
        <f t="shared" si="14"/>
        <v>1.0281003984049417</v>
      </c>
      <c r="V58" s="19">
        <f t="shared" si="2"/>
        <v>0</v>
      </c>
      <c r="W58" s="19">
        <f t="shared" si="3"/>
        <v>69.824582470187465</v>
      </c>
      <c r="X58" s="23">
        <f t="shared" si="15"/>
        <v>1066.4335824701875</v>
      </c>
      <c r="Y58" s="22">
        <f>(1/(2*LOG(3.7*$I58/'Calculation Constants'!$B$3*1000)))^2</f>
        <v>9.7303620360708887E-3</v>
      </c>
      <c r="Z58" s="19">
        <f t="shared" si="4"/>
        <v>1.0826630767363397</v>
      </c>
      <c r="AA58" s="19">
        <f>IF($H58&gt;0,'Calculation Constants'!$B$9*Hydraulics!$K58^2/2/9.81/MAX($F$4:$F$253)*$H58,"")</f>
        <v>6.3421890311175441E-2</v>
      </c>
      <c r="AB58" s="19">
        <f t="shared" si="27"/>
        <v>1.1460849670475151</v>
      </c>
      <c r="AC58" s="19">
        <f t="shared" si="5"/>
        <v>0</v>
      </c>
      <c r="AD58" s="19">
        <f t="shared" si="17"/>
        <v>64.633261449910037</v>
      </c>
      <c r="AE58" s="23">
        <f t="shared" si="18"/>
        <v>1061.2422614499101</v>
      </c>
      <c r="AF58" s="27">
        <f>(1/(2*LOG(3.7*$I58/'Calculation Constants'!$B$4*1000)))^2</f>
        <v>1.1458969193927592E-2</v>
      </c>
      <c r="AG58" s="19">
        <f t="shared" si="6"/>
        <v>1.274999100520025</v>
      </c>
      <c r="AH58" s="19">
        <f>IF($H58&gt;0,'Calculation Constants'!$B$9*Hydraulics!$K58^2/2/9.81/MAX($F$4:$F$253)*$H58,"")</f>
        <v>6.3421890311175441E-2</v>
      </c>
      <c r="AI58" s="19">
        <f t="shared" si="19"/>
        <v>1.3384209908312004</v>
      </c>
      <c r="AJ58" s="19">
        <f t="shared" si="7"/>
        <v>0</v>
      </c>
      <c r="AK58" s="19">
        <f t="shared" si="20"/>
        <v>56.170476403422413</v>
      </c>
      <c r="AL58" s="23">
        <f t="shared" si="21"/>
        <v>1052.7794764034224</v>
      </c>
      <c r="AM58" s="22">
        <f>(1/(2*LOG(3.7*($I58-0.008)/'Calculation Constants'!$B$5*1000)))^2</f>
        <v>1.4542845531075887E-2</v>
      </c>
      <c r="AN58" s="19">
        <f t="shared" si="22"/>
        <v>1.6249731396833385</v>
      </c>
      <c r="AO58" s="19">
        <f>IF($H58&gt;0,'Calculation Constants'!$B$9*Hydraulics!$K58^2/2/9.81/MAX($F$4:$F$253)*$H58,"")</f>
        <v>6.3421890311175441E-2</v>
      </c>
      <c r="AP58" s="19">
        <f t="shared" si="23"/>
        <v>1.6883950299945139</v>
      </c>
      <c r="AQ58" s="19">
        <f t="shared" si="8"/>
        <v>0</v>
      </c>
      <c r="AR58" s="19">
        <f t="shared" si="24"/>
        <v>40.771618680238475</v>
      </c>
      <c r="AS58" s="23">
        <f t="shared" si="25"/>
        <v>1037.3806186802385</v>
      </c>
    </row>
    <row r="59" spans="5:45">
      <c r="E59" s="35" t="str">
        <f t="shared" si="9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1.9</v>
      </c>
      <c r="J59" s="36">
        <f>'Flow Rate Calculations'!$B$7</f>
        <v>4.0831050228310497</v>
      </c>
      <c r="K59" s="36">
        <f t="shared" si="10"/>
        <v>1.440102709245225</v>
      </c>
      <c r="L59" s="37">
        <f>$I59*$K59/'Calculation Constants'!$B$7</f>
        <v>2421411.6350140949</v>
      </c>
      <c r="M59" s="37">
        <f t="shared" si="11"/>
        <v>118.67100000000005</v>
      </c>
      <c r="N59" s="23">
        <f t="shared" si="12"/>
        <v>72.406482071782648</v>
      </c>
      <c r="O59" s="57">
        <f t="shared" si="0"/>
        <v>118.67100000000005</v>
      </c>
      <c r="P59" s="66">
        <f>MAX(I59*1000/'Calculation Constants'!$B$14,O59*10*I59*1000/2/('Calculation Constants'!$B$12*1000*'Calculation Constants'!$B$13))</f>
        <v>11.875</v>
      </c>
      <c r="Q59" s="68">
        <f t="shared" si="1"/>
        <v>1105894.9783427313</v>
      </c>
      <c r="R59" s="27">
        <f>(1/(2*LOG(3.7*$I59/'Calculation Constants'!$B$2*1000)))^2</f>
        <v>8.6699836115820689E-3</v>
      </c>
      <c r="S59" s="19">
        <f t="shared" si="13"/>
        <v>0.96467850809376621</v>
      </c>
      <c r="T59" s="19">
        <f>IF($H59&gt;0,'Calculation Constants'!$B$9*Hydraulics!$K59^2/2/9.81/MAX($F$4:$F$253)*$H59,"")</f>
        <v>6.3421890311175441E-2</v>
      </c>
      <c r="U59" s="19">
        <f t="shared" si="14"/>
        <v>1.0281003984049417</v>
      </c>
      <c r="V59" s="19">
        <f t="shared" si="2"/>
        <v>0</v>
      </c>
      <c r="W59" s="19">
        <f t="shared" si="3"/>
        <v>72.406482071782648</v>
      </c>
      <c r="X59" s="23">
        <f t="shared" si="15"/>
        <v>1065.4054820717827</v>
      </c>
      <c r="Y59" s="22">
        <f>(1/(2*LOG(3.7*$I59/'Calculation Constants'!$B$3*1000)))^2</f>
        <v>9.7303620360708887E-3</v>
      </c>
      <c r="Z59" s="19">
        <f t="shared" si="4"/>
        <v>1.0826630767363397</v>
      </c>
      <c r="AA59" s="19">
        <f>IF($H59&gt;0,'Calculation Constants'!$B$9*Hydraulics!$K59^2/2/9.81/MAX($F$4:$F$253)*$H59,"")</f>
        <v>6.3421890311175441E-2</v>
      </c>
      <c r="AB59" s="19">
        <f t="shared" si="27"/>
        <v>1.1460849670475151</v>
      </c>
      <c r="AC59" s="19">
        <f t="shared" si="5"/>
        <v>0</v>
      </c>
      <c r="AD59" s="19">
        <f t="shared" si="17"/>
        <v>67.097176482862551</v>
      </c>
      <c r="AE59" s="23">
        <f t="shared" si="18"/>
        <v>1060.0961764828626</v>
      </c>
      <c r="AF59" s="27">
        <f>(1/(2*LOG(3.7*$I59/'Calculation Constants'!$B$4*1000)))^2</f>
        <v>1.1458969193927592E-2</v>
      </c>
      <c r="AG59" s="19">
        <f t="shared" si="6"/>
        <v>1.274999100520025</v>
      </c>
      <c r="AH59" s="19">
        <f>IF($H59&gt;0,'Calculation Constants'!$B$9*Hydraulics!$K59^2/2/9.81/MAX($F$4:$F$253)*$H59,"")</f>
        <v>6.3421890311175441E-2</v>
      </c>
      <c r="AI59" s="19">
        <f t="shared" si="19"/>
        <v>1.3384209908312004</v>
      </c>
      <c r="AJ59" s="19">
        <f t="shared" si="7"/>
        <v>0</v>
      </c>
      <c r="AK59" s="19">
        <f t="shared" si="20"/>
        <v>58.442055412591117</v>
      </c>
      <c r="AL59" s="23">
        <f t="shared" si="21"/>
        <v>1051.4410554125911</v>
      </c>
      <c r="AM59" s="22">
        <f>(1/(2*LOG(3.7*($I59-0.008)/'Calculation Constants'!$B$5*1000)))^2</f>
        <v>1.4542845531075887E-2</v>
      </c>
      <c r="AN59" s="19">
        <f t="shared" si="22"/>
        <v>1.6249731396833385</v>
      </c>
      <c r="AO59" s="19">
        <f>IF($H59&gt;0,'Calculation Constants'!$B$9*Hydraulics!$K59^2/2/9.81/MAX($F$4:$F$253)*$H59,"")</f>
        <v>6.3421890311175441E-2</v>
      </c>
      <c r="AP59" s="19">
        <f t="shared" si="23"/>
        <v>1.6883950299945139</v>
      </c>
      <c r="AQ59" s="19">
        <f t="shared" si="8"/>
        <v>0</v>
      </c>
      <c r="AR59" s="19">
        <f t="shared" si="24"/>
        <v>42.693223650243908</v>
      </c>
      <c r="AS59" s="23">
        <f t="shared" si="25"/>
        <v>1035.6922236502439</v>
      </c>
    </row>
    <row r="60" spans="5:45">
      <c r="E60" s="35" t="str">
        <f t="shared" si="9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1.9</v>
      </c>
      <c r="J60" s="36">
        <f>'Flow Rate Calculations'!$B$7</f>
        <v>4.0831050228310497</v>
      </c>
      <c r="K60" s="36">
        <f t="shared" si="10"/>
        <v>1.440102709245225</v>
      </c>
      <c r="L60" s="37">
        <f>$I60*$K60/'Calculation Constants'!$B$7</f>
        <v>2421411.6350140949</v>
      </c>
      <c r="M60" s="37">
        <f t="shared" si="11"/>
        <v>118.03100000000006</v>
      </c>
      <c r="N60" s="23">
        <f t="shared" si="12"/>
        <v>70.73838167337783</v>
      </c>
      <c r="O60" s="57">
        <f t="shared" si="0"/>
        <v>118.03100000000006</v>
      </c>
      <c r="P60" s="66">
        <f>MAX(I60*1000/'Calculation Constants'!$B$14,O60*10*I60*1000/2/('Calculation Constants'!$B$12*1000*'Calculation Constants'!$B$13))</f>
        <v>11.875</v>
      </c>
      <c r="Q60" s="68">
        <f t="shared" si="1"/>
        <v>1105894.9783427313</v>
      </c>
      <c r="R60" s="27">
        <f>(1/(2*LOG(3.7*$I60/'Calculation Constants'!$B$2*1000)))^2</f>
        <v>8.6699836115820689E-3</v>
      </c>
      <c r="S60" s="19">
        <f t="shared" si="13"/>
        <v>0.96467850809376621</v>
      </c>
      <c r="T60" s="19">
        <f>IF($H60&gt;0,'Calculation Constants'!$B$9*Hydraulics!$K60^2/2/9.81/MAX($F$4:$F$253)*$H60,"")</f>
        <v>6.3421890311175441E-2</v>
      </c>
      <c r="U60" s="19">
        <f t="shared" si="14"/>
        <v>1.0281003984049417</v>
      </c>
      <c r="V60" s="19">
        <f t="shared" si="2"/>
        <v>0</v>
      </c>
      <c r="W60" s="19">
        <f t="shared" si="3"/>
        <v>70.73838167337783</v>
      </c>
      <c r="X60" s="23">
        <f t="shared" si="15"/>
        <v>1064.3773816733778</v>
      </c>
      <c r="Y60" s="22">
        <f>(1/(2*LOG(3.7*$I60/'Calculation Constants'!$B$3*1000)))^2</f>
        <v>9.7303620360708887E-3</v>
      </c>
      <c r="Z60" s="19">
        <f t="shared" si="4"/>
        <v>1.0826630767363397</v>
      </c>
      <c r="AA60" s="19">
        <f>IF($H60&gt;0,'Calculation Constants'!$B$9*Hydraulics!$K60^2/2/9.81/MAX($F$4:$F$253)*$H60,"")</f>
        <v>6.3421890311175441E-2</v>
      </c>
      <c r="AB60" s="19">
        <f t="shared" si="27"/>
        <v>1.1460849670475151</v>
      </c>
      <c r="AC60" s="19">
        <f t="shared" si="5"/>
        <v>0</v>
      </c>
      <c r="AD60" s="19">
        <f t="shared" si="17"/>
        <v>65.311091515815065</v>
      </c>
      <c r="AE60" s="23">
        <f t="shared" si="18"/>
        <v>1058.9500915158151</v>
      </c>
      <c r="AF60" s="27">
        <f>(1/(2*LOG(3.7*$I60/'Calculation Constants'!$B$4*1000)))^2</f>
        <v>1.1458969193927592E-2</v>
      </c>
      <c r="AG60" s="19">
        <f t="shared" si="6"/>
        <v>1.274999100520025</v>
      </c>
      <c r="AH60" s="19">
        <f>IF($H60&gt;0,'Calculation Constants'!$B$9*Hydraulics!$K60^2/2/9.81/MAX($F$4:$F$253)*$H60,"")</f>
        <v>6.3421890311175441E-2</v>
      </c>
      <c r="AI60" s="19">
        <f t="shared" si="19"/>
        <v>1.3384209908312004</v>
      </c>
      <c r="AJ60" s="19">
        <f t="shared" si="7"/>
        <v>0</v>
      </c>
      <c r="AK60" s="19">
        <f t="shared" si="20"/>
        <v>56.463634421759821</v>
      </c>
      <c r="AL60" s="23">
        <f t="shared" si="21"/>
        <v>1050.1026344217598</v>
      </c>
      <c r="AM60" s="22">
        <f>(1/(2*LOG(3.7*($I60-0.008)/'Calculation Constants'!$B$5*1000)))^2</f>
        <v>1.4542845531075887E-2</v>
      </c>
      <c r="AN60" s="19">
        <f t="shared" si="22"/>
        <v>1.6249731396833385</v>
      </c>
      <c r="AO60" s="19">
        <f>IF($H60&gt;0,'Calculation Constants'!$B$9*Hydraulics!$K60^2/2/9.81/MAX($F$4:$F$253)*$H60,"")</f>
        <v>6.3421890311175441E-2</v>
      </c>
      <c r="AP60" s="19">
        <f t="shared" si="23"/>
        <v>1.6883950299945139</v>
      </c>
      <c r="AQ60" s="19">
        <f t="shared" si="8"/>
        <v>0</v>
      </c>
      <c r="AR60" s="19">
        <f t="shared" si="24"/>
        <v>40.364828620249341</v>
      </c>
      <c r="AS60" s="23">
        <f t="shared" si="25"/>
        <v>1034.0038286202494</v>
      </c>
    </row>
    <row r="61" spans="5:45">
      <c r="E61" s="35" t="str">
        <f t="shared" si="9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1.9</v>
      </c>
      <c r="J61" s="36">
        <f>'Flow Rate Calculations'!$B$7</f>
        <v>4.0831050228310497</v>
      </c>
      <c r="K61" s="36">
        <f t="shared" si="10"/>
        <v>1.440102709245225</v>
      </c>
      <c r="L61" s="37">
        <f>$I61*$K61/'Calculation Constants'!$B$7</f>
        <v>2421411.6350140949</v>
      </c>
      <c r="M61" s="37">
        <f t="shared" si="11"/>
        <v>117.05900000000008</v>
      </c>
      <c r="N61" s="23">
        <f t="shared" si="12"/>
        <v>68.738281274973019</v>
      </c>
      <c r="O61" s="57">
        <f t="shared" si="0"/>
        <v>117.05900000000008</v>
      </c>
      <c r="P61" s="66">
        <f>MAX(I61*1000/'Calculation Constants'!$B$14,O61*10*I61*1000/2/('Calculation Constants'!$B$12*1000*'Calculation Constants'!$B$13))</f>
        <v>11.875</v>
      </c>
      <c r="Q61" s="68">
        <f t="shared" si="1"/>
        <v>1105894.9783427313</v>
      </c>
      <c r="R61" s="27">
        <f>(1/(2*LOG(3.7*$I61/'Calculation Constants'!$B$2*1000)))^2</f>
        <v>8.6699836115820689E-3</v>
      </c>
      <c r="S61" s="19">
        <f t="shared" si="13"/>
        <v>0.96467850809376621</v>
      </c>
      <c r="T61" s="19">
        <f>IF($H61&gt;0,'Calculation Constants'!$B$9*Hydraulics!$K61^2/2/9.81/MAX($F$4:$F$253)*$H61,"")</f>
        <v>6.3421890311175441E-2</v>
      </c>
      <c r="U61" s="19">
        <f t="shared" si="14"/>
        <v>1.0281003984049417</v>
      </c>
      <c r="V61" s="19">
        <f t="shared" si="2"/>
        <v>0</v>
      </c>
      <c r="W61" s="19">
        <f t="shared" si="3"/>
        <v>68.738281274973019</v>
      </c>
      <c r="X61" s="23">
        <f t="shared" si="15"/>
        <v>1063.349281274973</v>
      </c>
      <c r="Y61" s="22">
        <f>(1/(2*LOG(3.7*$I61/'Calculation Constants'!$B$3*1000)))^2</f>
        <v>9.7303620360708887E-3</v>
      </c>
      <c r="Z61" s="19">
        <f t="shared" si="4"/>
        <v>1.0826630767363397</v>
      </c>
      <c r="AA61" s="19">
        <f>IF($H61&gt;0,'Calculation Constants'!$B$9*Hydraulics!$K61^2/2/9.81/MAX($F$4:$F$253)*$H61,"")</f>
        <v>6.3421890311175441E-2</v>
      </c>
      <c r="AB61" s="19">
        <f t="shared" si="27"/>
        <v>1.1460849670475151</v>
      </c>
      <c r="AC61" s="19">
        <f t="shared" si="5"/>
        <v>0</v>
      </c>
      <c r="AD61" s="19">
        <f t="shared" si="17"/>
        <v>63.193006548767585</v>
      </c>
      <c r="AE61" s="23">
        <f t="shared" si="18"/>
        <v>1057.8040065487676</v>
      </c>
      <c r="AF61" s="27">
        <f>(1/(2*LOG(3.7*$I61/'Calculation Constants'!$B$4*1000)))^2</f>
        <v>1.1458969193927592E-2</v>
      </c>
      <c r="AG61" s="19">
        <f t="shared" si="6"/>
        <v>1.274999100520025</v>
      </c>
      <c r="AH61" s="19">
        <f>IF($H61&gt;0,'Calculation Constants'!$B$9*Hydraulics!$K61^2/2/9.81/MAX($F$4:$F$253)*$H61,"")</f>
        <v>6.3421890311175441E-2</v>
      </c>
      <c r="AI61" s="19">
        <f t="shared" si="19"/>
        <v>1.3384209908312004</v>
      </c>
      <c r="AJ61" s="19">
        <f t="shared" si="7"/>
        <v>0</v>
      </c>
      <c r="AK61" s="19">
        <f t="shared" si="20"/>
        <v>54.153213430928531</v>
      </c>
      <c r="AL61" s="23">
        <f t="shared" si="21"/>
        <v>1048.7642134309285</v>
      </c>
      <c r="AM61" s="22">
        <f>(1/(2*LOG(3.7*($I61-0.008)/'Calculation Constants'!$B$5*1000)))^2</f>
        <v>1.4542845531075887E-2</v>
      </c>
      <c r="AN61" s="19">
        <f t="shared" si="22"/>
        <v>1.6249731396833385</v>
      </c>
      <c r="AO61" s="19">
        <f>IF($H61&gt;0,'Calculation Constants'!$B$9*Hydraulics!$K61^2/2/9.81/MAX($F$4:$F$253)*$H61,"")</f>
        <v>6.3421890311175441E-2</v>
      </c>
      <c r="AP61" s="19">
        <f t="shared" si="23"/>
        <v>1.6883950299945139</v>
      </c>
      <c r="AQ61" s="19">
        <f t="shared" si="8"/>
        <v>0</v>
      </c>
      <c r="AR61" s="19">
        <f t="shared" si="24"/>
        <v>37.70443359025478</v>
      </c>
      <c r="AS61" s="23">
        <f t="shared" si="25"/>
        <v>1032.3154335902548</v>
      </c>
    </row>
    <row r="62" spans="5:45">
      <c r="E62" s="35" t="str">
        <f t="shared" si="9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1.9</v>
      </c>
      <c r="J62" s="36">
        <f>'Flow Rate Calculations'!$B$7</f>
        <v>4.0831050228310497</v>
      </c>
      <c r="K62" s="36">
        <f t="shared" si="10"/>
        <v>1.440102709245225</v>
      </c>
      <c r="L62" s="37">
        <f>$I62*$K62/'Calculation Constants'!$B$7</f>
        <v>2421411.6350140949</v>
      </c>
      <c r="M62" s="37">
        <f t="shared" si="11"/>
        <v>115.9190000000001</v>
      </c>
      <c r="N62" s="23">
        <f t="shared" si="12"/>
        <v>66.570180876568202</v>
      </c>
      <c r="O62" s="57">
        <f t="shared" si="0"/>
        <v>115.9190000000001</v>
      </c>
      <c r="P62" s="66">
        <f>MAX(I62*1000/'Calculation Constants'!$B$14,O62*10*I62*1000/2/('Calculation Constants'!$B$12*1000*'Calculation Constants'!$B$13))</f>
        <v>11.875</v>
      </c>
      <c r="Q62" s="68">
        <f t="shared" si="1"/>
        <v>1105894.9783427313</v>
      </c>
      <c r="R62" s="27">
        <f>(1/(2*LOG(3.7*$I62/'Calculation Constants'!$B$2*1000)))^2</f>
        <v>8.6699836115820689E-3</v>
      </c>
      <c r="S62" s="19">
        <f t="shared" si="13"/>
        <v>0.96467850809376621</v>
      </c>
      <c r="T62" s="19">
        <f>IF($H62&gt;0,'Calculation Constants'!$B$9*Hydraulics!$K62^2/2/9.81/MAX($F$4:$F$253)*$H62,"")</f>
        <v>6.3421890311175441E-2</v>
      </c>
      <c r="U62" s="19">
        <f t="shared" si="14"/>
        <v>1.0281003984049417</v>
      </c>
      <c r="V62" s="19">
        <f t="shared" si="2"/>
        <v>0</v>
      </c>
      <c r="W62" s="19">
        <f t="shared" si="3"/>
        <v>66.570180876568202</v>
      </c>
      <c r="X62" s="23">
        <f t="shared" si="15"/>
        <v>1062.3211808765682</v>
      </c>
      <c r="Y62" s="22">
        <f>(1/(2*LOG(3.7*$I62/'Calculation Constants'!$B$3*1000)))^2</f>
        <v>9.7303620360708887E-3</v>
      </c>
      <c r="Z62" s="19">
        <f t="shared" si="4"/>
        <v>1.0826630767363397</v>
      </c>
      <c r="AA62" s="19">
        <f>IF($H62&gt;0,'Calculation Constants'!$B$9*Hydraulics!$K62^2/2/9.81/MAX($F$4:$F$253)*$H62,"")</f>
        <v>6.3421890311175441E-2</v>
      </c>
      <c r="AB62" s="19">
        <f t="shared" si="27"/>
        <v>1.1460849670475151</v>
      </c>
      <c r="AC62" s="19">
        <f t="shared" si="5"/>
        <v>0</v>
      </c>
      <c r="AD62" s="19">
        <f t="shared" si="17"/>
        <v>60.906921581720098</v>
      </c>
      <c r="AE62" s="23">
        <f t="shared" si="18"/>
        <v>1056.6579215817201</v>
      </c>
      <c r="AF62" s="27">
        <f>(1/(2*LOG(3.7*$I62/'Calculation Constants'!$B$4*1000)))^2</f>
        <v>1.1458969193927592E-2</v>
      </c>
      <c r="AG62" s="19">
        <f t="shared" si="6"/>
        <v>1.274999100520025</v>
      </c>
      <c r="AH62" s="19">
        <f>IF($H62&gt;0,'Calculation Constants'!$B$9*Hydraulics!$K62^2/2/9.81/MAX($F$4:$F$253)*$H62,"")</f>
        <v>6.3421890311175441E-2</v>
      </c>
      <c r="AI62" s="19">
        <f t="shared" si="19"/>
        <v>1.3384209908312004</v>
      </c>
      <c r="AJ62" s="19">
        <f t="shared" si="7"/>
        <v>0</v>
      </c>
      <c r="AK62" s="19">
        <f t="shared" si="20"/>
        <v>51.674792440097235</v>
      </c>
      <c r="AL62" s="23">
        <f t="shared" si="21"/>
        <v>1047.4257924400972</v>
      </c>
      <c r="AM62" s="22">
        <f>(1/(2*LOG(3.7*($I62-0.008)/'Calculation Constants'!$B$5*1000)))^2</f>
        <v>1.4542845531075887E-2</v>
      </c>
      <c r="AN62" s="19">
        <f t="shared" si="22"/>
        <v>1.6249731396833385</v>
      </c>
      <c r="AO62" s="19">
        <f>IF($H62&gt;0,'Calculation Constants'!$B$9*Hydraulics!$K62^2/2/9.81/MAX($F$4:$F$253)*$H62,"")</f>
        <v>6.3421890311175441E-2</v>
      </c>
      <c r="AP62" s="19">
        <f t="shared" si="23"/>
        <v>1.6883950299945139</v>
      </c>
      <c r="AQ62" s="19">
        <f t="shared" si="8"/>
        <v>0</v>
      </c>
      <c r="AR62" s="19">
        <f t="shared" si="24"/>
        <v>34.876038560260213</v>
      </c>
      <c r="AS62" s="23">
        <f t="shared" si="25"/>
        <v>1030.6270385602602</v>
      </c>
    </row>
    <row r="63" spans="5:45">
      <c r="E63" s="35" t="str">
        <f t="shared" si="9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1.9</v>
      </c>
      <c r="J63" s="36">
        <f>'Flow Rate Calculations'!$B$7</f>
        <v>4.0831050228310497</v>
      </c>
      <c r="K63" s="36">
        <f t="shared" si="10"/>
        <v>1.440102709245225</v>
      </c>
      <c r="L63" s="37">
        <f>$I63*$K63/'Calculation Constants'!$B$7</f>
        <v>2421411.6350140949</v>
      </c>
      <c r="M63" s="37">
        <f t="shared" si="11"/>
        <v>115.19100000000003</v>
      </c>
      <c r="N63" s="23">
        <f t="shared" si="12"/>
        <v>64.814080478163305</v>
      </c>
      <c r="O63" s="57">
        <f t="shared" si="0"/>
        <v>115.19100000000003</v>
      </c>
      <c r="P63" s="66">
        <f>MAX(I63*1000/'Calculation Constants'!$B$14,O63*10*I63*1000/2/('Calculation Constants'!$B$12*1000*'Calculation Constants'!$B$13))</f>
        <v>11.875</v>
      </c>
      <c r="Q63" s="68">
        <f t="shared" si="1"/>
        <v>1105894.9783427313</v>
      </c>
      <c r="R63" s="27">
        <f>(1/(2*LOG(3.7*$I63/'Calculation Constants'!$B$2*1000)))^2</f>
        <v>8.6699836115820689E-3</v>
      </c>
      <c r="S63" s="19">
        <f t="shared" si="13"/>
        <v>0.96467850809376621</v>
      </c>
      <c r="T63" s="19">
        <f>IF($H63&gt;0,'Calculation Constants'!$B$9*Hydraulics!$K63^2/2/9.81/MAX($F$4:$F$253)*$H63,"")</f>
        <v>6.3421890311175441E-2</v>
      </c>
      <c r="U63" s="19">
        <f t="shared" si="14"/>
        <v>1.0281003984049417</v>
      </c>
      <c r="V63" s="19">
        <f t="shared" si="2"/>
        <v>0</v>
      </c>
      <c r="W63" s="19">
        <f t="shared" si="3"/>
        <v>64.814080478163305</v>
      </c>
      <c r="X63" s="23">
        <f t="shared" si="15"/>
        <v>1061.2930804781633</v>
      </c>
      <c r="Y63" s="22">
        <f>(1/(2*LOG(3.7*$I63/'Calculation Constants'!$B$3*1000)))^2</f>
        <v>9.7303620360708887E-3</v>
      </c>
      <c r="Z63" s="19">
        <f t="shared" si="4"/>
        <v>1.0826630767363397</v>
      </c>
      <c r="AA63" s="19">
        <f>IF($H63&gt;0,'Calculation Constants'!$B$9*Hydraulics!$K63^2/2/9.81/MAX($F$4:$F$253)*$H63,"")</f>
        <v>6.3421890311175441E-2</v>
      </c>
      <c r="AB63" s="19">
        <f t="shared" si="27"/>
        <v>1.1460849670475151</v>
      </c>
      <c r="AC63" s="19">
        <f t="shared" si="5"/>
        <v>0</v>
      </c>
      <c r="AD63" s="19">
        <f t="shared" si="17"/>
        <v>59.032836614672533</v>
      </c>
      <c r="AE63" s="23">
        <f t="shared" si="18"/>
        <v>1055.5118366146726</v>
      </c>
      <c r="AF63" s="27">
        <f>(1/(2*LOG(3.7*$I63/'Calculation Constants'!$B$4*1000)))^2</f>
        <v>1.1458969193927592E-2</v>
      </c>
      <c r="AG63" s="19">
        <f t="shared" si="6"/>
        <v>1.274999100520025</v>
      </c>
      <c r="AH63" s="19">
        <f>IF($H63&gt;0,'Calculation Constants'!$B$9*Hydraulics!$K63^2/2/9.81/MAX($F$4:$F$253)*$H63,"")</f>
        <v>6.3421890311175441E-2</v>
      </c>
      <c r="AI63" s="19">
        <f t="shared" si="19"/>
        <v>1.3384209908312004</v>
      </c>
      <c r="AJ63" s="19">
        <f t="shared" si="7"/>
        <v>0</v>
      </c>
      <c r="AK63" s="19">
        <f t="shared" si="20"/>
        <v>49.60837144926586</v>
      </c>
      <c r="AL63" s="23">
        <f t="shared" si="21"/>
        <v>1046.0873714492659</v>
      </c>
      <c r="AM63" s="22">
        <f>(1/(2*LOG(3.7*($I63-0.008)/'Calculation Constants'!$B$5*1000)))^2</f>
        <v>1.4542845531075887E-2</v>
      </c>
      <c r="AN63" s="19">
        <f t="shared" si="22"/>
        <v>1.6249731396833385</v>
      </c>
      <c r="AO63" s="19">
        <f>IF($H63&gt;0,'Calculation Constants'!$B$9*Hydraulics!$K63^2/2/9.81/MAX($F$4:$F$253)*$H63,"")</f>
        <v>6.3421890311175441E-2</v>
      </c>
      <c r="AP63" s="19">
        <f t="shared" si="23"/>
        <v>1.6883950299945139</v>
      </c>
      <c r="AQ63" s="19">
        <f t="shared" si="8"/>
        <v>0</v>
      </c>
      <c r="AR63" s="19">
        <f t="shared" si="24"/>
        <v>32.459643530265566</v>
      </c>
      <c r="AS63" s="23">
        <f t="shared" si="25"/>
        <v>1028.9386435302656</v>
      </c>
    </row>
    <row r="64" spans="5:45">
      <c r="E64" s="35" t="str">
        <f t="shared" si="9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1.9</v>
      </c>
      <c r="J64" s="36">
        <f>'Flow Rate Calculations'!$B$7</f>
        <v>4.0831050228310497</v>
      </c>
      <c r="K64" s="36">
        <f t="shared" si="10"/>
        <v>1.440102709245225</v>
      </c>
      <c r="L64" s="37">
        <f>$I64*$K64/'Calculation Constants'!$B$7</f>
        <v>2421411.6350140949</v>
      </c>
      <c r="M64" s="37">
        <f t="shared" si="11"/>
        <v>115.52300000000002</v>
      </c>
      <c r="N64" s="23">
        <f t="shared" si="12"/>
        <v>64.117980079758468</v>
      </c>
      <c r="O64" s="57">
        <f t="shared" si="0"/>
        <v>115.52300000000002</v>
      </c>
      <c r="P64" s="66">
        <f>MAX(I64*1000/'Calculation Constants'!$B$14,O64*10*I64*1000/2/('Calculation Constants'!$B$12*1000*'Calculation Constants'!$B$13))</f>
        <v>11.875</v>
      </c>
      <c r="Q64" s="68">
        <f t="shared" si="1"/>
        <v>1105894.9783427313</v>
      </c>
      <c r="R64" s="27">
        <f>(1/(2*LOG(3.7*$I64/'Calculation Constants'!$B$2*1000)))^2</f>
        <v>8.6699836115820689E-3</v>
      </c>
      <c r="S64" s="19">
        <f t="shared" si="13"/>
        <v>0.96467850809376621</v>
      </c>
      <c r="T64" s="19">
        <f>IF($H64&gt;0,'Calculation Constants'!$B$9*Hydraulics!$K64^2/2/9.81/MAX($F$4:$F$253)*$H64,"")</f>
        <v>6.3421890311175441E-2</v>
      </c>
      <c r="U64" s="19">
        <f t="shared" si="14"/>
        <v>1.0281003984049417</v>
      </c>
      <c r="V64" s="19">
        <f t="shared" si="2"/>
        <v>0</v>
      </c>
      <c r="W64" s="19">
        <f t="shared" si="3"/>
        <v>64.117980079758468</v>
      </c>
      <c r="X64" s="23">
        <f t="shared" si="15"/>
        <v>1060.2649800797585</v>
      </c>
      <c r="Y64" s="22">
        <f>(1/(2*LOG(3.7*$I64/'Calculation Constants'!$B$3*1000)))^2</f>
        <v>9.7303620360708887E-3</v>
      </c>
      <c r="Z64" s="19">
        <f t="shared" si="4"/>
        <v>1.0826630767363397</v>
      </c>
      <c r="AA64" s="19">
        <f>IF($H64&gt;0,'Calculation Constants'!$B$9*Hydraulics!$K64^2/2/9.81/MAX($F$4:$F$253)*$H64,"")</f>
        <v>6.3421890311175441E-2</v>
      </c>
      <c r="AB64" s="19">
        <f t="shared" si="27"/>
        <v>1.1460849670475151</v>
      </c>
      <c r="AC64" s="19">
        <f t="shared" si="5"/>
        <v>0</v>
      </c>
      <c r="AD64" s="19">
        <f t="shared" si="17"/>
        <v>58.218751647625027</v>
      </c>
      <c r="AE64" s="23">
        <f t="shared" si="18"/>
        <v>1054.3657516476251</v>
      </c>
      <c r="AF64" s="27">
        <f>(1/(2*LOG(3.7*$I64/'Calculation Constants'!$B$4*1000)))^2</f>
        <v>1.1458969193927592E-2</v>
      </c>
      <c r="AG64" s="19">
        <f t="shared" si="6"/>
        <v>1.274999100520025</v>
      </c>
      <c r="AH64" s="19">
        <f>IF($H64&gt;0,'Calculation Constants'!$B$9*Hydraulics!$K64^2/2/9.81/MAX($F$4:$F$253)*$H64,"")</f>
        <v>6.3421890311175441E-2</v>
      </c>
      <c r="AI64" s="19">
        <f t="shared" si="19"/>
        <v>1.3384209908312004</v>
      </c>
      <c r="AJ64" s="19">
        <f t="shared" si="7"/>
        <v>0</v>
      </c>
      <c r="AK64" s="19">
        <f t="shared" si="20"/>
        <v>48.601950458434544</v>
      </c>
      <c r="AL64" s="23">
        <f t="shared" si="21"/>
        <v>1044.7489504584346</v>
      </c>
      <c r="AM64" s="22">
        <f>(1/(2*LOG(3.7*($I64-0.008)/'Calculation Constants'!$B$5*1000)))^2</f>
        <v>1.4542845531075887E-2</v>
      </c>
      <c r="AN64" s="19">
        <f t="shared" si="22"/>
        <v>1.6249731396833385</v>
      </c>
      <c r="AO64" s="19">
        <f>IF($H64&gt;0,'Calculation Constants'!$B$9*Hydraulics!$K64^2/2/9.81/MAX($F$4:$F$253)*$H64,"")</f>
        <v>6.3421890311175441E-2</v>
      </c>
      <c r="AP64" s="19">
        <f t="shared" si="23"/>
        <v>1.6883950299945139</v>
      </c>
      <c r="AQ64" s="19">
        <f t="shared" si="8"/>
        <v>0</v>
      </c>
      <c r="AR64" s="19">
        <f t="shared" si="24"/>
        <v>31.103248500270979</v>
      </c>
      <c r="AS64" s="23">
        <f t="shared" si="25"/>
        <v>1027.250248500271</v>
      </c>
    </row>
    <row r="65" spans="5:45">
      <c r="E65" s="35" t="str">
        <f t="shared" si="9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1.9</v>
      </c>
      <c r="J65" s="36">
        <f>'Flow Rate Calculations'!$B$7</f>
        <v>4.0831050228310497</v>
      </c>
      <c r="K65" s="36">
        <f t="shared" si="10"/>
        <v>1.440102709245225</v>
      </c>
      <c r="L65" s="37">
        <f>$I65*$K65/'Calculation Constants'!$B$7</f>
        <v>2421411.6350140949</v>
      </c>
      <c r="M65" s="37">
        <f t="shared" si="11"/>
        <v>119.57600000000002</v>
      </c>
      <c r="N65" s="23">
        <f t="shared" si="12"/>
        <v>67.142879681353634</v>
      </c>
      <c r="O65" s="57">
        <f t="shared" si="0"/>
        <v>119.57600000000002</v>
      </c>
      <c r="P65" s="66">
        <f>MAX(I65*1000/'Calculation Constants'!$B$14,O65*10*I65*1000/2/('Calculation Constants'!$B$12*1000*'Calculation Constants'!$B$13))</f>
        <v>11.875</v>
      </c>
      <c r="Q65" s="68">
        <f t="shared" si="1"/>
        <v>1105894.9783427313</v>
      </c>
      <c r="R65" s="27">
        <f>(1/(2*LOG(3.7*$I65/'Calculation Constants'!$B$2*1000)))^2</f>
        <v>8.6699836115820689E-3</v>
      </c>
      <c r="S65" s="19">
        <f t="shared" si="13"/>
        <v>0.96467850809376621</v>
      </c>
      <c r="T65" s="19">
        <f>IF($H65&gt;0,'Calculation Constants'!$B$9*Hydraulics!$K65^2/2/9.81/MAX($F$4:$F$253)*$H65,"")</f>
        <v>6.3421890311175441E-2</v>
      </c>
      <c r="U65" s="19">
        <f t="shared" si="14"/>
        <v>1.0281003984049417</v>
      </c>
      <c r="V65" s="19">
        <f t="shared" si="2"/>
        <v>0</v>
      </c>
      <c r="W65" s="19">
        <f t="shared" si="3"/>
        <v>67.142879681353634</v>
      </c>
      <c r="X65" s="23">
        <f t="shared" si="15"/>
        <v>1059.2368796813537</v>
      </c>
      <c r="Y65" s="22">
        <f>(1/(2*LOG(3.7*$I65/'Calculation Constants'!$B$3*1000)))^2</f>
        <v>9.7303620360708887E-3</v>
      </c>
      <c r="Z65" s="19">
        <f t="shared" si="4"/>
        <v>1.0826630767363397</v>
      </c>
      <c r="AA65" s="19">
        <f>IF($H65&gt;0,'Calculation Constants'!$B$9*Hydraulics!$K65^2/2/9.81/MAX($F$4:$F$253)*$H65,"")</f>
        <v>6.3421890311175441E-2</v>
      </c>
      <c r="AB65" s="19">
        <f t="shared" si="27"/>
        <v>1.1460849670475151</v>
      </c>
      <c r="AC65" s="19">
        <f t="shared" si="5"/>
        <v>0</v>
      </c>
      <c r="AD65" s="19">
        <f t="shared" si="17"/>
        <v>61.125666680577524</v>
      </c>
      <c r="AE65" s="23">
        <f t="shared" si="18"/>
        <v>1053.2196666805776</v>
      </c>
      <c r="AF65" s="27">
        <f>(1/(2*LOG(3.7*$I65/'Calculation Constants'!$B$4*1000)))^2</f>
        <v>1.1458969193927592E-2</v>
      </c>
      <c r="AG65" s="19">
        <f t="shared" si="6"/>
        <v>1.274999100520025</v>
      </c>
      <c r="AH65" s="19">
        <f>IF($H65&gt;0,'Calculation Constants'!$B$9*Hydraulics!$K65^2/2/9.81/MAX($F$4:$F$253)*$H65,"")</f>
        <v>6.3421890311175441E-2</v>
      </c>
      <c r="AI65" s="19">
        <f t="shared" si="19"/>
        <v>1.3384209908312004</v>
      </c>
      <c r="AJ65" s="19">
        <f t="shared" si="7"/>
        <v>0</v>
      </c>
      <c r="AK65" s="19">
        <f t="shared" si="20"/>
        <v>51.316529467603232</v>
      </c>
      <c r="AL65" s="23">
        <f t="shared" si="21"/>
        <v>1043.4105294676033</v>
      </c>
      <c r="AM65" s="22">
        <f>(1/(2*LOG(3.7*($I65-0.008)/'Calculation Constants'!$B$5*1000)))^2</f>
        <v>1.4542845531075887E-2</v>
      </c>
      <c r="AN65" s="19">
        <f t="shared" si="22"/>
        <v>1.6249731396833385</v>
      </c>
      <c r="AO65" s="19">
        <f>IF($H65&gt;0,'Calculation Constants'!$B$9*Hydraulics!$K65^2/2/9.81/MAX($F$4:$F$253)*$H65,"")</f>
        <v>6.3421890311175441E-2</v>
      </c>
      <c r="AP65" s="19">
        <f t="shared" si="23"/>
        <v>1.6883950299945139</v>
      </c>
      <c r="AQ65" s="19">
        <f t="shared" si="8"/>
        <v>0</v>
      </c>
      <c r="AR65" s="19">
        <f t="shared" si="24"/>
        <v>33.467853470276395</v>
      </c>
      <c r="AS65" s="23">
        <f t="shared" si="25"/>
        <v>1025.5618534702764</v>
      </c>
    </row>
    <row r="66" spans="5:45">
      <c r="E66" s="35" t="str">
        <f t="shared" si="9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1.9</v>
      </c>
      <c r="J66" s="36">
        <f>'Flow Rate Calculations'!$B$7</f>
        <v>4.0831050228310497</v>
      </c>
      <c r="K66" s="36">
        <f t="shared" si="10"/>
        <v>1.440102709245225</v>
      </c>
      <c r="L66" s="37">
        <f>$I66*$K66/'Calculation Constants'!$B$7</f>
        <v>2421411.6350140949</v>
      </c>
      <c r="M66" s="37">
        <f t="shared" si="11"/>
        <v>126.04700000000003</v>
      </c>
      <c r="N66" s="23">
        <f t="shared" si="12"/>
        <v>72.585779282948806</v>
      </c>
      <c r="O66" s="57">
        <f t="shared" si="0"/>
        <v>126.04700000000003</v>
      </c>
      <c r="P66" s="66">
        <f>MAX(I66*1000/'Calculation Constants'!$B$14,O66*10*I66*1000/2/('Calculation Constants'!$B$12*1000*'Calculation Constants'!$B$13))</f>
        <v>11.875</v>
      </c>
      <c r="Q66" s="68">
        <f t="shared" si="1"/>
        <v>1105894.9783427313</v>
      </c>
      <c r="R66" s="27">
        <f>(1/(2*LOG(3.7*$I66/'Calculation Constants'!$B$2*1000)))^2</f>
        <v>8.6699836115820689E-3</v>
      </c>
      <c r="S66" s="19">
        <f t="shared" si="13"/>
        <v>0.96467850809376621</v>
      </c>
      <c r="T66" s="19">
        <f>IF($H66&gt;0,'Calculation Constants'!$B$9*Hydraulics!$K66^2/2/9.81/MAX($F$4:$F$253)*$H66,"")</f>
        <v>6.3421890311175441E-2</v>
      </c>
      <c r="U66" s="19">
        <f t="shared" si="14"/>
        <v>1.0281003984049417</v>
      </c>
      <c r="V66" s="19">
        <f t="shared" si="2"/>
        <v>0</v>
      </c>
      <c r="W66" s="19">
        <f t="shared" si="3"/>
        <v>72.585779282948806</v>
      </c>
      <c r="X66" s="23">
        <f t="shared" si="15"/>
        <v>1058.2087792829489</v>
      </c>
      <c r="Y66" s="22">
        <f>(1/(2*LOG(3.7*$I66/'Calculation Constants'!$B$3*1000)))^2</f>
        <v>9.7303620360708887E-3</v>
      </c>
      <c r="Z66" s="19">
        <f t="shared" si="4"/>
        <v>1.0826630767363397</v>
      </c>
      <c r="AA66" s="19">
        <f>IF($H66&gt;0,'Calculation Constants'!$B$9*Hydraulics!$K66^2/2/9.81/MAX($F$4:$F$253)*$H66,"")</f>
        <v>6.3421890311175441E-2</v>
      </c>
      <c r="AB66" s="19">
        <f t="shared" si="27"/>
        <v>1.1460849670475151</v>
      </c>
      <c r="AC66" s="19">
        <f t="shared" si="5"/>
        <v>0</v>
      </c>
      <c r="AD66" s="19">
        <f t="shared" si="17"/>
        <v>66.450581713530028</v>
      </c>
      <c r="AE66" s="23">
        <f t="shared" si="18"/>
        <v>1052.0735817135301</v>
      </c>
      <c r="AF66" s="27">
        <f>(1/(2*LOG(3.7*$I66/'Calculation Constants'!$B$4*1000)))^2</f>
        <v>1.1458969193927592E-2</v>
      </c>
      <c r="AG66" s="19">
        <f t="shared" si="6"/>
        <v>1.274999100520025</v>
      </c>
      <c r="AH66" s="19">
        <f>IF($H66&gt;0,'Calculation Constants'!$B$9*Hydraulics!$K66^2/2/9.81/MAX($F$4:$F$253)*$H66,"")</f>
        <v>6.3421890311175441E-2</v>
      </c>
      <c r="AI66" s="19">
        <f t="shared" si="19"/>
        <v>1.3384209908312004</v>
      </c>
      <c r="AJ66" s="19">
        <f t="shared" si="7"/>
        <v>0</v>
      </c>
      <c r="AK66" s="19">
        <f t="shared" si="20"/>
        <v>56.449108476771926</v>
      </c>
      <c r="AL66" s="23">
        <f t="shared" si="21"/>
        <v>1042.072108476772</v>
      </c>
      <c r="AM66" s="22">
        <f>(1/(2*LOG(3.7*($I66-0.008)/'Calculation Constants'!$B$5*1000)))^2</f>
        <v>1.4542845531075887E-2</v>
      </c>
      <c r="AN66" s="19">
        <f t="shared" si="22"/>
        <v>1.6249731396833385</v>
      </c>
      <c r="AO66" s="19">
        <f>IF($H66&gt;0,'Calculation Constants'!$B$9*Hydraulics!$K66^2/2/9.81/MAX($F$4:$F$253)*$H66,"")</f>
        <v>6.3421890311175441E-2</v>
      </c>
      <c r="AP66" s="19">
        <f t="shared" si="23"/>
        <v>1.6883950299945139</v>
      </c>
      <c r="AQ66" s="19">
        <f t="shared" si="8"/>
        <v>0</v>
      </c>
      <c r="AR66" s="19">
        <f t="shared" si="24"/>
        <v>38.250458440281932</v>
      </c>
      <c r="AS66" s="23">
        <f t="shared" si="25"/>
        <v>1023.873458440282</v>
      </c>
    </row>
    <row r="67" spans="5:45">
      <c r="E67" s="35" t="str">
        <f t="shared" si="9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1.9</v>
      </c>
      <c r="J67" s="36">
        <f>'Flow Rate Calculations'!$B$7</f>
        <v>4.0831050228310497</v>
      </c>
      <c r="K67" s="36">
        <f t="shared" si="10"/>
        <v>1.440102709245225</v>
      </c>
      <c r="L67" s="37">
        <f>$I67*$K67/'Calculation Constants'!$B$7</f>
        <v>2421411.6350140949</v>
      </c>
      <c r="M67" s="37">
        <f t="shared" si="11"/>
        <v>133.91100000000006</v>
      </c>
      <c r="N67" s="23">
        <f t="shared" si="12"/>
        <v>79.421678884544008</v>
      </c>
      <c r="O67" s="57">
        <f t="shared" si="0"/>
        <v>133.91100000000006</v>
      </c>
      <c r="P67" s="66">
        <f>MAX(I67*1000/'Calculation Constants'!$B$14,O67*10*I67*1000/2/('Calculation Constants'!$B$12*1000*'Calculation Constants'!$B$13))</f>
        <v>11.875</v>
      </c>
      <c r="Q67" s="68">
        <f t="shared" si="1"/>
        <v>1105894.9783427313</v>
      </c>
      <c r="R67" s="27">
        <f>(1/(2*LOG(3.7*$I67/'Calculation Constants'!$B$2*1000)))^2</f>
        <v>8.6699836115820689E-3</v>
      </c>
      <c r="S67" s="19">
        <f t="shared" si="13"/>
        <v>0.96467850809376621</v>
      </c>
      <c r="T67" s="19">
        <f>IF($H67&gt;0,'Calculation Constants'!$B$9*Hydraulics!$K67^2/2/9.81/MAX($F$4:$F$253)*$H67,"")</f>
        <v>6.3421890311175441E-2</v>
      </c>
      <c r="U67" s="19">
        <f t="shared" si="14"/>
        <v>1.0281003984049417</v>
      </c>
      <c r="V67" s="19">
        <f t="shared" si="2"/>
        <v>0</v>
      </c>
      <c r="W67" s="19">
        <f t="shared" si="3"/>
        <v>79.421678884544008</v>
      </c>
      <c r="X67" s="23">
        <f t="shared" si="15"/>
        <v>1057.180678884544</v>
      </c>
      <c r="Y67" s="22">
        <f>(1/(2*LOG(3.7*$I67/'Calculation Constants'!$B$3*1000)))^2</f>
        <v>9.7303620360708887E-3</v>
      </c>
      <c r="Z67" s="19">
        <f t="shared" si="4"/>
        <v>1.0826630767363397</v>
      </c>
      <c r="AA67" s="19">
        <f>IF($H67&gt;0,'Calculation Constants'!$B$9*Hydraulics!$K67^2/2/9.81/MAX($F$4:$F$253)*$H67,"")</f>
        <v>6.3421890311175441E-2</v>
      </c>
      <c r="AB67" s="19">
        <f t="shared" si="27"/>
        <v>1.1460849670475151</v>
      </c>
      <c r="AC67" s="19">
        <f t="shared" si="5"/>
        <v>0</v>
      </c>
      <c r="AD67" s="19">
        <f t="shared" si="17"/>
        <v>73.16849674648256</v>
      </c>
      <c r="AE67" s="23">
        <f t="shared" si="18"/>
        <v>1050.9274967464826</v>
      </c>
      <c r="AF67" s="27">
        <f>(1/(2*LOG(3.7*$I67/'Calculation Constants'!$B$4*1000)))^2</f>
        <v>1.1458969193927592E-2</v>
      </c>
      <c r="AG67" s="19">
        <f t="shared" si="6"/>
        <v>1.274999100520025</v>
      </c>
      <c r="AH67" s="19">
        <f>IF($H67&gt;0,'Calculation Constants'!$B$9*Hydraulics!$K67^2/2/9.81/MAX($F$4:$F$253)*$H67,"")</f>
        <v>6.3421890311175441E-2</v>
      </c>
      <c r="AI67" s="19">
        <f t="shared" si="19"/>
        <v>1.3384209908312004</v>
      </c>
      <c r="AJ67" s="19">
        <f t="shared" si="7"/>
        <v>0</v>
      </c>
      <c r="AK67" s="19">
        <f t="shared" si="20"/>
        <v>62.974687485940649</v>
      </c>
      <c r="AL67" s="23">
        <f t="shared" si="21"/>
        <v>1040.7336874859407</v>
      </c>
      <c r="AM67" s="22">
        <f>(1/(2*LOG(3.7*($I67-0.008)/'Calculation Constants'!$B$5*1000)))^2</f>
        <v>1.4542845531075887E-2</v>
      </c>
      <c r="AN67" s="19">
        <f t="shared" si="22"/>
        <v>1.6249731396833385</v>
      </c>
      <c r="AO67" s="19">
        <f>IF($H67&gt;0,'Calculation Constants'!$B$9*Hydraulics!$K67^2/2/9.81/MAX($F$4:$F$253)*$H67,"")</f>
        <v>6.3421890311175441E-2</v>
      </c>
      <c r="AP67" s="19">
        <f t="shared" si="23"/>
        <v>1.6883950299945139</v>
      </c>
      <c r="AQ67" s="19">
        <f t="shared" si="8"/>
        <v>0</v>
      </c>
      <c r="AR67" s="19">
        <f t="shared" si="24"/>
        <v>44.426063410287497</v>
      </c>
      <c r="AS67" s="23">
        <f t="shared" si="25"/>
        <v>1022.1850634102875</v>
      </c>
    </row>
    <row r="68" spans="5:45">
      <c r="E68" s="35" t="str">
        <f t="shared" si="9"/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1.9</v>
      </c>
      <c r="J68" s="36">
        <f>'Flow Rate Calculations'!$B$7</f>
        <v>4.0831050228310497</v>
      </c>
      <c r="K68" s="36">
        <f t="shared" si="10"/>
        <v>1.440102709245225</v>
      </c>
      <c r="L68" s="37">
        <f>$I68*$K68/'Calculation Constants'!$B$7</f>
        <v>2421411.6350140949</v>
      </c>
      <c r="M68" s="37">
        <f t="shared" si="11"/>
        <v>141.89800000000002</v>
      </c>
      <c r="N68" s="23">
        <f t="shared" si="12"/>
        <v>86.380578486139143</v>
      </c>
      <c r="O68" s="57">
        <f t="shared" ref="O68:O131" si="29">MAX(M68,AD68)</f>
        <v>141.89800000000002</v>
      </c>
      <c r="P68" s="66">
        <f>MAX(I68*1000/'Calculation Constants'!$B$14,O68*10*I68*1000/2/('Calculation Constants'!$B$12*1000*'Calculation Constants'!$B$13))</f>
        <v>11.875</v>
      </c>
      <c r="Q68" s="68">
        <f t="shared" ref="Q68:Q131" si="30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3"/>
        <v>0.96467850809376621</v>
      </c>
      <c r="T68" s="19">
        <f>IF($H68&gt;0,'Calculation Constants'!$B$9*Hydraulics!$K68^2/2/9.81/MAX($F$4:$F$253)*$H68,"")</f>
        <v>6.3421890311175441E-2</v>
      </c>
      <c r="U68" s="19">
        <f t="shared" si="14"/>
        <v>1.0281003984049417</v>
      </c>
      <c r="V68" s="19">
        <f t="shared" ref="V68:V131" si="31">IF($F68=$B$4,$D$4,(IF($F68=$B$5,$D$5,IF($F68=$B$6,$D$6,0))))</f>
        <v>0</v>
      </c>
      <c r="W68" s="19">
        <f t="shared" ref="W68:W131" si="32">IF(E68="Reservoir",VLOOKUP(F68,$B$11:$D$15,2)-G68,X68-$G68)</f>
        <v>86.380578486139143</v>
      </c>
      <c r="X68" s="23">
        <f t="shared" si="15"/>
        <v>1056.1525784861392</v>
      </c>
      <c r="Y68" s="22">
        <f>(1/(2*LOG(3.7*$I68/'Calculation Constants'!$B$3*1000)))^2</f>
        <v>9.7303620360708887E-3</v>
      </c>
      <c r="Z68" s="19">
        <f t="shared" ref="Z68:Z131" si="33">IF($H68&gt;0,Y68*$H68*$K68^2/2/9.81/$I68*1000,"")</f>
        <v>1.0826630767363397</v>
      </c>
      <c r="AA68" s="19">
        <f>IF($H68&gt;0,'Calculation Constants'!$B$9*Hydraulics!$K68^2/2/9.81/MAX($F$4:$F$253)*$H68,"")</f>
        <v>6.3421890311175441E-2</v>
      </c>
      <c r="AB68" s="19">
        <f t="shared" si="27"/>
        <v>1.1460849670475151</v>
      </c>
      <c r="AC68" s="19">
        <f t="shared" ref="AC68:AC131" si="34">IF($F68=$B$4,$D$4,(IF($F68=$B$5,$D$5,IF($F68=$B$6,$D$6,0))))</f>
        <v>0</v>
      </c>
      <c r="AD68" s="19">
        <f t="shared" si="17"/>
        <v>80.009411779435027</v>
      </c>
      <c r="AE68" s="23">
        <f t="shared" si="18"/>
        <v>1049.7814117794351</v>
      </c>
      <c r="AF68" s="27">
        <f>(1/(2*LOG(3.7*$I68/'Calculation Constants'!$B$4*1000)))^2</f>
        <v>1.1458969193927592E-2</v>
      </c>
      <c r="AG68" s="19">
        <f t="shared" ref="AG68:AG131" si="35">IF($H68&gt;0,AF68*$H68*$K68^2/2/9.81/$I68*1000,"")</f>
        <v>1.274999100520025</v>
      </c>
      <c r="AH68" s="19">
        <f>IF($H68&gt;0,'Calculation Constants'!$B$9*Hydraulics!$K68^2/2/9.81/MAX($F$4:$F$253)*$H68,"")</f>
        <v>6.3421890311175441E-2</v>
      </c>
      <c r="AI68" s="19">
        <f t="shared" si="19"/>
        <v>1.3384209908312004</v>
      </c>
      <c r="AJ68" s="19">
        <f t="shared" ref="AJ68:AJ131" si="36">IF($F68=$B$4,$D$4,(IF($F68=$B$5,$D$5,IF($F68=$B$6,$D$6,0))))</f>
        <v>0</v>
      </c>
      <c r="AK68" s="19">
        <f t="shared" si="20"/>
        <v>69.623266495109306</v>
      </c>
      <c r="AL68" s="23">
        <f t="shared" si="21"/>
        <v>1039.3952664951094</v>
      </c>
      <c r="AM68" s="22">
        <f>(1/(2*LOG(3.7*($I68-0.008)/'Calculation Constants'!$B$5*1000)))^2</f>
        <v>1.4542845531075887E-2</v>
      </c>
      <c r="AN68" s="19">
        <f t="shared" si="22"/>
        <v>1.6249731396833385</v>
      </c>
      <c r="AO68" s="19">
        <f>IF($H68&gt;0,'Calculation Constants'!$B$9*Hydraulics!$K68^2/2/9.81/MAX($F$4:$F$253)*$H68,"")</f>
        <v>6.3421890311175441E-2</v>
      </c>
      <c r="AP68" s="19">
        <f t="shared" si="23"/>
        <v>1.6883950299945139</v>
      </c>
      <c r="AQ68" s="19">
        <f t="shared" ref="AQ68:AQ131" si="37">IF($F68=$B$4,$D$4,(IF($F68=$B$5,$D$5,IF($F68=$B$6,$D$6,0))))</f>
        <v>0</v>
      </c>
      <c r="AR68" s="19">
        <f t="shared" si="24"/>
        <v>50.724668380292997</v>
      </c>
      <c r="AS68" s="23">
        <f t="shared" si="25"/>
        <v>1020.496668380293</v>
      </c>
    </row>
    <row r="69" spans="5:45">
      <c r="E69" s="35" t="str">
        <f t="shared" ref="E69:E132" si="38">IF(OR(F69=$B$11,F69=$B$12,F69=$B$13,F69=$B$14,F69=$B$15,F69=$B$16),"Reservoir",IF(OR(F69=$B$4,F69=$B$5,F69=$B$6),"Pump Station",""))</f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1.9</v>
      </c>
      <c r="J69" s="36">
        <f>'Flow Rate Calculations'!$B$7</f>
        <v>4.0831050228310497</v>
      </c>
      <c r="K69" s="36">
        <f t="shared" ref="K69:K132" si="39">J69/I69^2/PI()*4</f>
        <v>1.440102709245225</v>
      </c>
      <c r="L69" s="37">
        <f>$I69*$K69/'Calculation Constants'!$B$7</f>
        <v>2421411.6350140949</v>
      </c>
      <c r="M69" s="37">
        <f t="shared" ref="M69:M132" si="40">IF(X69&gt;VLOOKUP(F69,$B$11:$D$16,2),"Greater Dynamic Pressures",VLOOKUP(F69,$B$11:$C$16,2)-G69)</f>
        <v>129.8850000000001</v>
      </c>
      <c r="N69" s="23">
        <f t="shared" ref="N69:N132" si="41">W69</f>
        <v>73.339478087734392</v>
      </c>
      <c r="O69" s="57">
        <f t="shared" si="29"/>
        <v>129.8850000000001</v>
      </c>
      <c r="P69" s="66">
        <f>MAX(I69*1000/'Calculation Constants'!$B$14,O69*10*I69*1000/2/('Calculation Constants'!$B$12*1000*'Calculation Constants'!$B$13))</f>
        <v>11.875</v>
      </c>
      <c r="Q69" s="68">
        <f t="shared" si="30"/>
        <v>1105894.9783427313</v>
      </c>
      <c r="R69" s="27">
        <f>(1/(2*LOG(3.7*$I69/'Calculation Constants'!$B$2*1000)))^2</f>
        <v>8.6699836115820689E-3</v>
      </c>
      <c r="S69" s="19">
        <f t="shared" ref="S69:S132" si="42">IF($H69&gt;0,R69*$H69*$K69^2/2/9.81/$I69*1000,"")</f>
        <v>0.96467850809376621</v>
      </c>
      <c r="T69" s="19">
        <f>IF($H69&gt;0,'Calculation Constants'!$B$9*Hydraulics!$K69^2/2/9.81/MAX($F$4:$F$253)*$H69,"")</f>
        <v>6.3421890311175441E-2</v>
      </c>
      <c r="U69" s="19">
        <f t="shared" ref="U69:U132" si="43">IF(S69="",0,S69+T69)</f>
        <v>1.0281003984049417</v>
      </c>
      <c r="V69" s="19">
        <f t="shared" si="31"/>
        <v>0</v>
      </c>
      <c r="W69" s="19">
        <f t="shared" si="32"/>
        <v>73.339478087734392</v>
      </c>
      <c r="X69" s="23">
        <f t="shared" ref="X69:X132" si="44">IF($E69="Reservoir",VLOOKUP($F69,$B$11:$D$16,2)+V69,X68-U69+V69)</f>
        <v>1055.1244780877344</v>
      </c>
      <c r="Y69" s="22">
        <f>(1/(2*LOG(3.7*$I69/'Calculation Constants'!$B$3*1000)))^2</f>
        <v>9.7303620360708887E-3</v>
      </c>
      <c r="Z69" s="19">
        <f t="shared" si="33"/>
        <v>1.0826630767363397</v>
      </c>
      <c r="AA69" s="19">
        <f>IF($H69&gt;0,'Calculation Constants'!$B$9*Hydraulics!$K69^2/2/9.81/MAX($F$4:$F$253)*$H69,"")</f>
        <v>6.3421890311175441E-2</v>
      </c>
      <c r="AB69" s="19">
        <f t="shared" si="27"/>
        <v>1.1460849670475151</v>
      </c>
      <c r="AC69" s="19">
        <f t="shared" si="34"/>
        <v>0</v>
      </c>
      <c r="AD69" s="19">
        <f t="shared" ref="AD69:AD132" si="45">AE69-$G69</f>
        <v>66.850326812387607</v>
      </c>
      <c r="AE69" s="23">
        <f t="shared" ref="AE69:AE132" si="46">IF($E69="Reservoir",VLOOKUP($F69,$B$11:$D$16,2)+AC69,AE68-AB69+AC69)</f>
        <v>1048.6353268123876</v>
      </c>
      <c r="AF69" s="27">
        <f>(1/(2*LOG(3.7*$I69/'Calculation Constants'!$B$4*1000)))^2</f>
        <v>1.1458969193927592E-2</v>
      </c>
      <c r="AG69" s="19">
        <f t="shared" si="35"/>
        <v>1.274999100520025</v>
      </c>
      <c r="AH69" s="19">
        <f>IF($H69&gt;0,'Calculation Constants'!$B$9*Hydraulics!$K69^2/2/9.81/MAX($F$4:$F$253)*$H69,"")</f>
        <v>6.3421890311175441E-2</v>
      </c>
      <c r="AI69" s="19">
        <f t="shared" ref="AI69:AI132" si="47">IF(AG69="",0,AG69+AH69)</f>
        <v>1.3384209908312004</v>
      </c>
      <c r="AJ69" s="19">
        <f t="shared" si="36"/>
        <v>0</v>
      </c>
      <c r="AK69" s="19">
        <f t="shared" ref="AK69:AK132" si="48">AL69-$G69</f>
        <v>56.271845504278076</v>
      </c>
      <c r="AL69" s="23">
        <f t="shared" ref="AL69:AL132" si="49">IF($E69="Reservoir",VLOOKUP($F69,$B$11:$D$16,2)+AJ69,AL68-AI69+AJ69)</f>
        <v>1038.056845504278</v>
      </c>
      <c r="AM69" s="22">
        <f>(1/(2*LOG(3.7*($I69-0.008)/'Calculation Constants'!$B$5*1000)))^2</f>
        <v>1.4542845531075887E-2</v>
      </c>
      <c r="AN69" s="19">
        <f t="shared" ref="AN69:AN132" si="50">IF($H69&gt;0,AM69*$H69*$K69^2/2/9.81/($I69-0.008)*1000,"")</f>
        <v>1.6249731396833385</v>
      </c>
      <c r="AO69" s="19">
        <f>IF($H69&gt;0,'Calculation Constants'!$B$9*Hydraulics!$K69^2/2/9.81/MAX($F$4:$F$253)*$H69,"")</f>
        <v>6.3421890311175441E-2</v>
      </c>
      <c r="AP69" s="19">
        <f t="shared" ref="AP69:AP132" si="51">IF(AN69="",0,AN69+AO69)</f>
        <v>1.6883950299945139</v>
      </c>
      <c r="AQ69" s="19">
        <f t="shared" si="37"/>
        <v>0</v>
      </c>
      <c r="AR69" s="19">
        <f t="shared" ref="AR69:AR132" si="52">AS69-$G69</f>
        <v>37.023273350298609</v>
      </c>
      <c r="AS69" s="23">
        <f t="shared" ref="AS69:AS132" si="53">IF($E69="Reservoir",VLOOKUP($F69,$B$11:$D$16,2)+AQ69,AS68-AP69+AQ69)</f>
        <v>1018.8082733502986</v>
      </c>
    </row>
    <row r="70" spans="5:45">
      <c r="E70" s="35" t="str">
        <f t="shared" si="3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4">F70-F69</f>
        <v>2</v>
      </c>
      <c r="I70" s="19">
        <v>1.9</v>
      </c>
      <c r="J70" s="36">
        <f>'Flow Rate Calculations'!$B$7</f>
        <v>4.0831050228310497</v>
      </c>
      <c r="K70" s="36">
        <f t="shared" si="39"/>
        <v>1.440102709245225</v>
      </c>
      <c r="L70" s="37">
        <f>$I70*$K70/'Calculation Constants'!$B$7</f>
        <v>2421411.6350140949</v>
      </c>
      <c r="M70" s="37">
        <f t="shared" si="40"/>
        <v>120.2120000000001</v>
      </c>
      <c r="N70" s="23">
        <f t="shared" si="41"/>
        <v>62.638377689329559</v>
      </c>
      <c r="O70" s="57">
        <f t="shared" si="29"/>
        <v>120.2120000000001</v>
      </c>
      <c r="P70" s="66">
        <f>MAX(I70*1000/'Calculation Constants'!$B$14,O70*10*I70*1000/2/('Calculation Constants'!$B$12*1000*'Calculation Constants'!$B$13))</f>
        <v>11.875</v>
      </c>
      <c r="Q70" s="68">
        <f t="shared" si="30"/>
        <v>1105894.9783427313</v>
      </c>
      <c r="R70" s="27">
        <f>(1/(2*LOG(3.7*$I70/'Calculation Constants'!$B$2*1000)))^2</f>
        <v>8.6699836115820689E-3</v>
      </c>
      <c r="S70" s="19">
        <f t="shared" si="42"/>
        <v>0.96467850809376621</v>
      </c>
      <c r="T70" s="19">
        <f>IF($H70&gt;0,'Calculation Constants'!$B$9*Hydraulics!$K70^2/2/9.81/MAX($F$4:$F$253)*$H70,"")</f>
        <v>6.3421890311175441E-2</v>
      </c>
      <c r="U70" s="19">
        <f t="shared" si="43"/>
        <v>1.0281003984049417</v>
      </c>
      <c r="V70" s="19">
        <f t="shared" si="31"/>
        <v>0</v>
      </c>
      <c r="W70" s="19">
        <f t="shared" si="32"/>
        <v>62.638377689329559</v>
      </c>
      <c r="X70" s="23">
        <f t="shared" si="44"/>
        <v>1054.0963776893295</v>
      </c>
      <c r="Y70" s="22">
        <f>(1/(2*LOG(3.7*$I70/'Calculation Constants'!$B$3*1000)))^2</f>
        <v>9.7303620360708887E-3</v>
      </c>
      <c r="Z70" s="19">
        <f t="shared" si="33"/>
        <v>1.0826630767363397</v>
      </c>
      <c r="AA70" s="19">
        <f>IF($H70&gt;0,'Calculation Constants'!$B$9*Hydraulics!$K70^2/2/9.81/MAX($F$4:$F$253)*$H70,"")</f>
        <v>6.3421890311175441E-2</v>
      </c>
      <c r="AB70" s="19">
        <f t="shared" si="27"/>
        <v>1.1460849670475151</v>
      </c>
      <c r="AC70" s="19">
        <f t="shared" si="34"/>
        <v>0</v>
      </c>
      <c r="AD70" s="19">
        <f t="shared" si="45"/>
        <v>56.031241845340105</v>
      </c>
      <c r="AE70" s="23">
        <f t="shared" si="46"/>
        <v>1047.4892418453401</v>
      </c>
      <c r="AF70" s="27">
        <f>(1/(2*LOG(3.7*$I70/'Calculation Constants'!$B$4*1000)))^2</f>
        <v>1.1458969193927592E-2</v>
      </c>
      <c r="AG70" s="19">
        <f t="shared" si="35"/>
        <v>1.274999100520025</v>
      </c>
      <c r="AH70" s="19">
        <f>IF($H70&gt;0,'Calculation Constants'!$B$9*Hydraulics!$K70^2/2/9.81/MAX($F$4:$F$253)*$H70,"")</f>
        <v>6.3421890311175441E-2</v>
      </c>
      <c r="AI70" s="19">
        <f t="shared" si="47"/>
        <v>1.3384209908312004</v>
      </c>
      <c r="AJ70" s="19">
        <f t="shared" si="36"/>
        <v>0</v>
      </c>
      <c r="AK70" s="19">
        <f t="shared" si="48"/>
        <v>45.260424513446765</v>
      </c>
      <c r="AL70" s="23">
        <f t="shared" si="49"/>
        <v>1036.7184245134467</v>
      </c>
      <c r="AM70" s="22">
        <f>(1/(2*LOG(3.7*($I70-0.008)/'Calculation Constants'!$B$5*1000)))^2</f>
        <v>1.4542845531075887E-2</v>
      </c>
      <c r="AN70" s="19">
        <f t="shared" si="50"/>
        <v>1.6249731396833385</v>
      </c>
      <c r="AO70" s="19">
        <f>IF($H70&gt;0,'Calculation Constants'!$B$9*Hydraulics!$K70^2/2/9.81/MAX($F$4:$F$253)*$H70,"")</f>
        <v>6.3421890311175441E-2</v>
      </c>
      <c r="AP70" s="19">
        <f t="shared" si="51"/>
        <v>1.6883950299945139</v>
      </c>
      <c r="AQ70" s="19">
        <f t="shared" si="37"/>
        <v>0</v>
      </c>
      <c r="AR70" s="19">
        <f t="shared" si="52"/>
        <v>25.66187832030414</v>
      </c>
      <c r="AS70" s="23">
        <f t="shared" si="53"/>
        <v>1017.1198783203041</v>
      </c>
    </row>
    <row r="71" spans="5:45">
      <c r="E71" s="35" t="str">
        <f t="shared" si="3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1.9</v>
      </c>
      <c r="J71" s="36">
        <f>'Flow Rate Calculations'!$B$7</f>
        <v>4.0831050228310497</v>
      </c>
      <c r="K71" s="36">
        <f t="shared" si="39"/>
        <v>1.440102709245225</v>
      </c>
      <c r="L71" s="37">
        <f>$I71*$K71/'Calculation Constants'!$B$7</f>
        <v>2421411.6350140949</v>
      </c>
      <c r="M71" s="37">
        <f t="shared" si="40"/>
        <v>123.90000000000009</v>
      </c>
      <c r="N71" s="23">
        <f t="shared" si="41"/>
        <v>65.298277290924716</v>
      </c>
      <c r="O71" s="57">
        <f t="shared" si="29"/>
        <v>123.90000000000009</v>
      </c>
      <c r="P71" s="66">
        <f>MAX(I71*1000/'Calculation Constants'!$B$14,O71*10*I71*1000/2/('Calculation Constants'!$B$12*1000*'Calculation Constants'!$B$13))</f>
        <v>11.875</v>
      </c>
      <c r="Q71" s="68">
        <f t="shared" si="30"/>
        <v>1105894.9783427313</v>
      </c>
      <c r="R71" s="27">
        <f>(1/(2*LOG(3.7*$I71/'Calculation Constants'!$B$2*1000)))^2</f>
        <v>8.6699836115820689E-3</v>
      </c>
      <c r="S71" s="19">
        <f t="shared" si="42"/>
        <v>0.96467850809376621</v>
      </c>
      <c r="T71" s="19">
        <f>IF($H71&gt;0,'Calculation Constants'!$B$9*Hydraulics!$K71^2/2/9.81/MAX($F$4:$F$253)*$H71,"")</f>
        <v>6.3421890311175441E-2</v>
      </c>
      <c r="U71" s="19">
        <f t="shared" si="43"/>
        <v>1.0281003984049417</v>
      </c>
      <c r="V71" s="19">
        <f t="shared" si="31"/>
        <v>0</v>
      </c>
      <c r="W71" s="19">
        <f t="shared" si="32"/>
        <v>65.298277290924716</v>
      </c>
      <c r="X71" s="23">
        <f t="shared" si="44"/>
        <v>1053.0682772909247</v>
      </c>
      <c r="Y71" s="22">
        <f>(1/(2*LOG(3.7*$I71/'Calculation Constants'!$B$3*1000)))^2</f>
        <v>9.7303620360708887E-3</v>
      </c>
      <c r="Z71" s="19">
        <f t="shared" si="33"/>
        <v>1.0826630767363397</v>
      </c>
      <c r="AA71" s="19">
        <f>IF($H71&gt;0,'Calculation Constants'!$B$9*Hydraulics!$K71^2/2/9.81/MAX($F$4:$F$253)*$H71,"")</f>
        <v>6.3421890311175441E-2</v>
      </c>
      <c r="AB71" s="19">
        <f t="shared" si="27"/>
        <v>1.1460849670475151</v>
      </c>
      <c r="AC71" s="19">
        <f t="shared" si="34"/>
        <v>0</v>
      </c>
      <c r="AD71" s="19">
        <f t="shared" si="45"/>
        <v>58.573156878292593</v>
      </c>
      <c r="AE71" s="23">
        <f t="shared" si="46"/>
        <v>1046.3431568782926</v>
      </c>
      <c r="AF71" s="27">
        <f>(1/(2*LOG(3.7*$I71/'Calculation Constants'!$B$4*1000)))^2</f>
        <v>1.1458969193927592E-2</v>
      </c>
      <c r="AG71" s="19">
        <f t="shared" si="35"/>
        <v>1.274999100520025</v>
      </c>
      <c r="AH71" s="19">
        <f>IF($H71&gt;0,'Calculation Constants'!$B$9*Hydraulics!$K71^2/2/9.81/MAX($F$4:$F$253)*$H71,"")</f>
        <v>6.3421890311175441E-2</v>
      </c>
      <c r="AI71" s="19">
        <f t="shared" si="47"/>
        <v>1.3384209908312004</v>
      </c>
      <c r="AJ71" s="19">
        <f t="shared" si="36"/>
        <v>0</v>
      </c>
      <c r="AK71" s="19">
        <f t="shared" si="48"/>
        <v>47.610003522615443</v>
      </c>
      <c r="AL71" s="23">
        <f t="shared" si="49"/>
        <v>1035.3800035226154</v>
      </c>
      <c r="AM71" s="22">
        <f>(1/(2*LOG(3.7*($I71-0.008)/'Calculation Constants'!$B$5*1000)))^2</f>
        <v>1.4542845531075887E-2</v>
      </c>
      <c r="AN71" s="19">
        <f t="shared" si="50"/>
        <v>1.6249731396833385</v>
      </c>
      <c r="AO71" s="19">
        <f>IF($H71&gt;0,'Calculation Constants'!$B$9*Hydraulics!$K71^2/2/9.81/MAX($F$4:$F$253)*$H71,"")</f>
        <v>6.3421890311175441E-2</v>
      </c>
      <c r="AP71" s="19">
        <f t="shared" si="51"/>
        <v>1.6883950299945139</v>
      </c>
      <c r="AQ71" s="19">
        <f t="shared" si="37"/>
        <v>0</v>
      </c>
      <c r="AR71" s="19">
        <f t="shared" si="52"/>
        <v>27.661483290309661</v>
      </c>
      <c r="AS71" s="23">
        <f t="shared" si="53"/>
        <v>1015.4314832903096</v>
      </c>
    </row>
    <row r="72" spans="5:45">
      <c r="E72" s="35" t="str">
        <f t="shared" si="3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1.9</v>
      </c>
      <c r="J72" s="36">
        <f>'Flow Rate Calculations'!$B$7</f>
        <v>4.0831050228310497</v>
      </c>
      <c r="K72" s="36">
        <f t="shared" si="39"/>
        <v>1.440102709245225</v>
      </c>
      <c r="L72" s="37">
        <f>$I72*$K72/'Calculation Constants'!$B$7</f>
        <v>2421411.6350140949</v>
      </c>
      <c r="M72" s="37">
        <f t="shared" si="40"/>
        <v>128.94500000000005</v>
      </c>
      <c r="N72" s="23">
        <f t="shared" si="41"/>
        <v>69.315176892519844</v>
      </c>
      <c r="O72" s="57">
        <f t="shared" si="29"/>
        <v>128.94500000000005</v>
      </c>
      <c r="P72" s="66">
        <f>MAX(I72*1000/'Calculation Constants'!$B$14,O72*10*I72*1000/2/('Calculation Constants'!$B$12*1000*'Calculation Constants'!$B$13))</f>
        <v>11.875</v>
      </c>
      <c r="Q72" s="68">
        <f t="shared" si="30"/>
        <v>1105894.9783427313</v>
      </c>
      <c r="R72" s="27">
        <f>(1/(2*LOG(3.7*$I72/'Calculation Constants'!$B$2*1000)))^2</f>
        <v>8.6699836115820689E-3</v>
      </c>
      <c r="S72" s="19">
        <f t="shared" si="42"/>
        <v>0.96467850809376621</v>
      </c>
      <c r="T72" s="19">
        <f>IF($H72&gt;0,'Calculation Constants'!$B$9*Hydraulics!$K72^2/2/9.81/MAX($F$4:$F$253)*$H72,"")</f>
        <v>6.3421890311175441E-2</v>
      </c>
      <c r="U72" s="19">
        <f t="shared" si="43"/>
        <v>1.0281003984049417</v>
      </c>
      <c r="V72" s="19">
        <f t="shared" si="31"/>
        <v>0</v>
      </c>
      <c r="W72" s="19">
        <f t="shared" si="32"/>
        <v>69.315176892519844</v>
      </c>
      <c r="X72" s="23">
        <f t="shared" si="44"/>
        <v>1052.0401768925199</v>
      </c>
      <c r="Y72" s="22">
        <f>(1/(2*LOG(3.7*$I72/'Calculation Constants'!$B$3*1000)))^2</f>
        <v>9.7303620360708887E-3</v>
      </c>
      <c r="Z72" s="19">
        <f t="shared" si="33"/>
        <v>1.0826630767363397</v>
      </c>
      <c r="AA72" s="19">
        <f>IF($H72&gt;0,'Calculation Constants'!$B$9*Hydraulics!$K72^2/2/9.81/MAX($F$4:$F$253)*$H72,"")</f>
        <v>6.3421890311175441E-2</v>
      </c>
      <c r="AB72" s="19">
        <f t="shared" ref="AB72:AB135" si="55">IF(Z72="",0,Z72+AA72)</f>
        <v>1.1460849670475151</v>
      </c>
      <c r="AC72" s="19">
        <f t="shared" si="34"/>
        <v>0</v>
      </c>
      <c r="AD72" s="19">
        <f t="shared" si="45"/>
        <v>62.472071911245052</v>
      </c>
      <c r="AE72" s="23">
        <f t="shared" si="46"/>
        <v>1045.1970719112451</v>
      </c>
      <c r="AF72" s="27">
        <f>(1/(2*LOG(3.7*$I72/'Calculation Constants'!$B$4*1000)))^2</f>
        <v>1.1458969193927592E-2</v>
      </c>
      <c r="AG72" s="19">
        <f t="shared" si="35"/>
        <v>1.274999100520025</v>
      </c>
      <c r="AH72" s="19">
        <f>IF($H72&gt;0,'Calculation Constants'!$B$9*Hydraulics!$K72^2/2/9.81/MAX($F$4:$F$253)*$H72,"")</f>
        <v>6.3421890311175441E-2</v>
      </c>
      <c r="AI72" s="19">
        <f t="shared" si="47"/>
        <v>1.3384209908312004</v>
      </c>
      <c r="AJ72" s="19">
        <f t="shared" si="36"/>
        <v>0</v>
      </c>
      <c r="AK72" s="19">
        <f t="shared" si="48"/>
        <v>51.316582531784093</v>
      </c>
      <c r="AL72" s="23">
        <f t="shared" si="49"/>
        <v>1034.0415825317841</v>
      </c>
      <c r="AM72" s="22">
        <f>(1/(2*LOG(3.7*($I72-0.008)/'Calculation Constants'!$B$5*1000)))^2</f>
        <v>1.4542845531075887E-2</v>
      </c>
      <c r="AN72" s="19">
        <f t="shared" si="50"/>
        <v>1.6249731396833385</v>
      </c>
      <c r="AO72" s="19">
        <f>IF($H72&gt;0,'Calculation Constants'!$B$9*Hydraulics!$K72^2/2/9.81/MAX($F$4:$F$253)*$H72,"")</f>
        <v>6.3421890311175441E-2</v>
      </c>
      <c r="AP72" s="19">
        <f t="shared" si="51"/>
        <v>1.6883950299945139</v>
      </c>
      <c r="AQ72" s="19">
        <f t="shared" si="37"/>
        <v>0</v>
      </c>
      <c r="AR72" s="19">
        <f t="shared" si="52"/>
        <v>31.018088260315153</v>
      </c>
      <c r="AS72" s="23">
        <f t="shared" si="53"/>
        <v>1013.7430882603152</v>
      </c>
    </row>
    <row r="73" spans="5:45">
      <c r="E73" s="35" t="str">
        <f t="shared" si="3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1.9</v>
      </c>
      <c r="J73" s="36">
        <f>'Flow Rate Calculations'!$B$7</f>
        <v>4.0831050228310497</v>
      </c>
      <c r="K73" s="36">
        <f t="shared" si="39"/>
        <v>1.440102709245225</v>
      </c>
      <c r="L73" s="37">
        <f>$I73*$K73/'Calculation Constants'!$B$7</f>
        <v>2421411.6350140949</v>
      </c>
      <c r="M73" s="37">
        <f t="shared" si="40"/>
        <v>134.1110000000001</v>
      </c>
      <c r="N73" s="23">
        <f t="shared" si="41"/>
        <v>73.453076494115066</v>
      </c>
      <c r="O73" s="57">
        <f t="shared" si="29"/>
        <v>134.1110000000001</v>
      </c>
      <c r="P73" s="66">
        <f>MAX(I73*1000/'Calculation Constants'!$B$14,O73*10*I73*1000/2/('Calculation Constants'!$B$12*1000*'Calculation Constants'!$B$13))</f>
        <v>11.875</v>
      </c>
      <c r="Q73" s="68">
        <f t="shared" si="30"/>
        <v>1105894.9783427313</v>
      </c>
      <c r="R73" s="27">
        <f>(1/(2*LOG(3.7*$I73/'Calculation Constants'!$B$2*1000)))^2</f>
        <v>8.6699836115820689E-3</v>
      </c>
      <c r="S73" s="19">
        <f t="shared" si="42"/>
        <v>0.96467850809376621</v>
      </c>
      <c r="T73" s="19">
        <f>IF($H73&gt;0,'Calculation Constants'!$B$9*Hydraulics!$K73^2/2/9.81/MAX($F$4:$F$253)*$H73,"")</f>
        <v>6.3421890311175441E-2</v>
      </c>
      <c r="U73" s="19">
        <f t="shared" si="43"/>
        <v>1.0281003984049417</v>
      </c>
      <c r="V73" s="19">
        <f t="shared" si="31"/>
        <v>0</v>
      </c>
      <c r="W73" s="19">
        <f t="shared" si="32"/>
        <v>73.453076494115066</v>
      </c>
      <c r="X73" s="23">
        <f t="shared" si="44"/>
        <v>1051.012076494115</v>
      </c>
      <c r="Y73" s="22">
        <f>(1/(2*LOG(3.7*$I73/'Calculation Constants'!$B$3*1000)))^2</f>
        <v>9.7303620360708887E-3</v>
      </c>
      <c r="Z73" s="19">
        <f t="shared" si="33"/>
        <v>1.0826630767363397</v>
      </c>
      <c r="AA73" s="19">
        <f>IF($H73&gt;0,'Calculation Constants'!$B$9*Hydraulics!$K73^2/2/9.81/MAX($F$4:$F$253)*$H73,"")</f>
        <v>6.3421890311175441E-2</v>
      </c>
      <c r="AB73" s="19">
        <f t="shared" si="55"/>
        <v>1.1460849670475151</v>
      </c>
      <c r="AC73" s="19">
        <f t="shared" si="34"/>
        <v>0</v>
      </c>
      <c r="AD73" s="19">
        <f t="shared" si="45"/>
        <v>66.491986944197606</v>
      </c>
      <c r="AE73" s="23">
        <f t="shared" si="46"/>
        <v>1044.0509869441976</v>
      </c>
      <c r="AF73" s="27">
        <f>(1/(2*LOG(3.7*$I73/'Calculation Constants'!$B$4*1000)))^2</f>
        <v>1.1458969193927592E-2</v>
      </c>
      <c r="AG73" s="19">
        <f t="shared" si="35"/>
        <v>1.274999100520025</v>
      </c>
      <c r="AH73" s="19">
        <f>IF($H73&gt;0,'Calculation Constants'!$B$9*Hydraulics!$K73^2/2/9.81/MAX($F$4:$F$253)*$H73,"")</f>
        <v>6.3421890311175441E-2</v>
      </c>
      <c r="AI73" s="19">
        <f t="shared" si="47"/>
        <v>1.3384209908312004</v>
      </c>
      <c r="AJ73" s="19">
        <f t="shared" si="36"/>
        <v>0</v>
      </c>
      <c r="AK73" s="19">
        <f t="shared" si="48"/>
        <v>55.144161540952837</v>
      </c>
      <c r="AL73" s="23">
        <f t="shared" si="49"/>
        <v>1032.7031615409528</v>
      </c>
      <c r="AM73" s="22">
        <f>(1/(2*LOG(3.7*($I73-0.008)/'Calculation Constants'!$B$5*1000)))^2</f>
        <v>1.4542845531075887E-2</v>
      </c>
      <c r="AN73" s="19">
        <f t="shared" si="50"/>
        <v>1.6249731396833385</v>
      </c>
      <c r="AO73" s="19">
        <f>IF($H73&gt;0,'Calculation Constants'!$B$9*Hydraulics!$K73^2/2/9.81/MAX($F$4:$F$253)*$H73,"")</f>
        <v>6.3421890311175441E-2</v>
      </c>
      <c r="AP73" s="19">
        <f t="shared" si="51"/>
        <v>1.6883950299945139</v>
      </c>
      <c r="AQ73" s="19">
        <f t="shared" si="37"/>
        <v>0</v>
      </c>
      <c r="AR73" s="19">
        <f t="shared" si="52"/>
        <v>34.49569323032074</v>
      </c>
      <c r="AS73" s="23">
        <f t="shared" si="53"/>
        <v>1012.0546932303207</v>
      </c>
    </row>
    <row r="74" spans="5:45">
      <c r="E74" s="35" t="str">
        <f t="shared" si="3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1.9</v>
      </c>
      <c r="J74" s="36">
        <f>'Flow Rate Calculations'!$B$7</f>
        <v>4.0831050228310497</v>
      </c>
      <c r="K74" s="36">
        <f t="shared" si="39"/>
        <v>1.440102709245225</v>
      </c>
      <c r="L74" s="37">
        <f>$I74*$K74/'Calculation Constants'!$B$7</f>
        <v>2421411.6350140949</v>
      </c>
      <c r="M74" s="37">
        <f t="shared" si="40"/>
        <v>136.38100000000009</v>
      </c>
      <c r="N74" s="23">
        <f t="shared" si="41"/>
        <v>74.694976095710217</v>
      </c>
      <c r="O74" s="57">
        <f t="shared" si="29"/>
        <v>136.38100000000009</v>
      </c>
      <c r="P74" s="66">
        <f>MAX(I74*1000/'Calculation Constants'!$B$14,O74*10*I74*1000/2/('Calculation Constants'!$B$12*1000*'Calculation Constants'!$B$13))</f>
        <v>11.875</v>
      </c>
      <c r="Q74" s="68">
        <f t="shared" si="30"/>
        <v>1105894.9783427313</v>
      </c>
      <c r="R74" s="27">
        <f>(1/(2*LOG(3.7*$I74/'Calculation Constants'!$B$2*1000)))^2</f>
        <v>8.6699836115820689E-3</v>
      </c>
      <c r="S74" s="19">
        <f t="shared" si="42"/>
        <v>0.96467850809376621</v>
      </c>
      <c r="T74" s="19">
        <f>IF($H74&gt;0,'Calculation Constants'!$B$9*Hydraulics!$K74^2/2/9.81/MAX($F$4:$F$253)*$H74,"")</f>
        <v>6.3421890311175441E-2</v>
      </c>
      <c r="U74" s="19">
        <f t="shared" si="43"/>
        <v>1.0281003984049417</v>
      </c>
      <c r="V74" s="19">
        <f t="shared" si="31"/>
        <v>0</v>
      </c>
      <c r="W74" s="19">
        <f t="shared" si="32"/>
        <v>74.694976095710217</v>
      </c>
      <c r="X74" s="23">
        <f t="shared" si="44"/>
        <v>1049.9839760957102</v>
      </c>
      <c r="Y74" s="22">
        <f>(1/(2*LOG(3.7*$I74/'Calculation Constants'!$B$3*1000)))^2</f>
        <v>9.7303620360708887E-3</v>
      </c>
      <c r="Z74" s="19">
        <f t="shared" si="33"/>
        <v>1.0826630767363397</v>
      </c>
      <c r="AA74" s="19">
        <f>IF($H74&gt;0,'Calculation Constants'!$B$9*Hydraulics!$K74^2/2/9.81/MAX($F$4:$F$253)*$H74,"")</f>
        <v>6.3421890311175441E-2</v>
      </c>
      <c r="AB74" s="19">
        <f t="shared" si="55"/>
        <v>1.1460849670475151</v>
      </c>
      <c r="AC74" s="19">
        <f t="shared" si="34"/>
        <v>0</v>
      </c>
      <c r="AD74" s="19">
        <f t="shared" si="45"/>
        <v>67.615901977150088</v>
      </c>
      <c r="AE74" s="23">
        <f t="shared" si="46"/>
        <v>1042.9049019771501</v>
      </c>
      <c r="AF74" s="27">
        <f>(1/(2*LOG(3.7*$I74/'Calculation Constants'!$B$4*1000)))^2</f>
        <v>1.1458969193927592E-2</v>
      </c>
      <c r="AG74" s="19">
        <f t="shared" si="35"/>
        <v>1.274999100520025</v>
      </c>
      <c r="AH74" s="19">
        <f>IF($H74&gt;0,'Calculation Constants'!$B$9*Hydraulics!$K74^2/2/9.81/MAX($F$4:$F$253)*$H74,"")</f>
        <v>6.3421890311175441E-2</v>
      </c>
      <c r="AI74" s="19">
        <f t="shared" si="47"/>
        <v>1.3384209908312004</v>
      </c>
      <c r="AJ74" s="19">
        <f t="shared" si="36"/>
        <v>0</v>
      </c>
      <c r="AK74" s="19">
        <f t="shared" si="48"/>
        <v>56.075740550121509</v>
      </c>
      <c r="AL74" s="23">
        <f t="shared" si="49"/>
        <v>1031.3647405501215</v>
      </c>
      <c r="AM74" s="22">
        <f>(1/(2*LOG(3.7*($I74-0.008)/'Calculation Constants'!$B$5*1000)))^2</f>
        <v>1.4542845531075887E-2</v>
      </c>
      <c r="AN74" s="19">
        <f t="shared" si="50"/>
        <v>1.6249731396833385</v>
      </c>
      <c r="AO74" s="19">
        <f>IF($H74&gt;0,'Calculation Constants'!$B$9*Hydraulics!$K74^2/2/9.81/MAX($F$4:$F$253)*$H74,"")</f>
        <v>6.3421890311175441E-2</v>
      </c>
      <c r="AP74" s="19">
        <f t="shared" si="51"/>
        <v>1.6883950299945139</v>
      </c>
      <c r="AQ74" s="19">
        <f t="shared" si="37"/>
        <v>0</v>
      </c>
      <c r="AR74" s="19">
        <f t="shared" si="52"/>
        <v>35.077298200326254</v>
      </c>
      <c r="AS74" s="23">
        <f t="shared" si="53"/>
        <v>1010.3662982003262</v>
      </c>
    </row>
    <row r="75" spans="5:45">
      <c r="E75" s="35" t="str">
        <f t="shared" si="3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1.9</v>
      </c>
      <c r="J75" s="36">
        <f>'Flow Rate Calculations'!$B$7</f>
        <v>4.0831050228310497</v>
      </c>
      <c r="K75" s="36">
        <f t="shared" si="39"/>
        <v>1.440102709245225</v>
      </c>
      <c r="L75" s="37">
        <f>$I75*$K75/'Calculation Constants'!$B$7</f>
        <v>2421411.6350140949</v>
      </c>
      <c r="M75" s="37">
        <f t="shared" si="40"/>
        <v>137.70200000000011</v>
      </c>
      <c r="N75" s="23">
        <f t="shared" si="41"/>
        <v>74.987875697305412</v>
      </c>
      <c r="O75" s="57">
        <f t="shared" si="29"/>
        <v>137.70200000000011</v>
      </c>
      <c r="P75" s="66">
        <f>MAX(I75*1000/'Calculation Constants'!$B$14,O75*10*I75*1000/2/('Calculation Constants'!$B$12*1000*'Calculation Constants'!$B$13))</f>
        <v>11.875</v>
      </c>
      <c r="Q75" s="68">
        <f t="shared" si="30"/>
        <v>1105894.9783427313</v>
      </c>
      <c r="R75" s="27">
        <f>(1/(2*LOG(3.7*$I75/'Calculation Constants'!$B$2*1000)))^2</f>
        <v>8.6699836115820689E-3</v>
      </c>
      <c r="S75" s="19">
        <f t="shared" si="42"/>
        <v>0.96467850809376621</v>
      </c>
      <c r="T75" s="19">
        <f>IF($H75&gt;0,'Calculation Constants'!$B$9*Hydraulics!$K75^2/2/9.81/MAX($F$4:$F$253)*$H75,"")</f>
        <v>6.3421890311175441E-2</v>
      </c>
      <c r="U75" s="19">
        <f t="shared" si="43"/>
        <v>1.0281003984049417</v>
      </c>
      <c r="V75" s="19">
        <f t="shared" si="31"/>
        <v>0</v>
      </c>
      <c r="W75" s="19">
        <f t="shared" si="32"/>
        <v>74.987875697305412</v>
      </c>
      <c r="X75" s="23">
        <f t="shared" si="44"/>
        <v>1048.9558756973054</v>
      </c>
      <c r="Y75" s="22">
        <f>(1/(2*LOG(3.7*$I75/'Calculation Constants'!$B$3*1000)))^2</f>
        <v>9.7303620360708887E-3</v>
      </c>
      <c r="Z75" s="19">
        <f t="shared" si="33"/>
        <v>1.0826630767363397</v>
      </c>
      <c r="AA75" s="19">
        <f>IF($H75&gt;0,'Calculation Constants'!$B$9*Hydraulics!$K75^2/2/9.81/MAX($F$4:$F$253)*$H75,"")</f>
        <v>6.3421890311175441E-2</v>
      </c>
      <c r="AB75" s="19">
        <f t="shared" si="55"/>
        <v>1.1460849670475151</v>
      </c>
      <c r="AC75" s="19">
        <f t="shared" si="34"/>
        <v>0</v>
      </c>
      <c r="AD75" s="19">
        <f t="shared" si="45"/>
        <v>67.790817010102614</v>
      </c>
      <c r="AE75" s="23">
        <f t="shared" si="46"/>
        <v>1041.7588170101026</v>
      </c>
      <c r="AF75" s="27">
        <f>(1/(2*LOG(3.7*$I75/'Calculation Constants'!$B$4*1000)))^2</f>
        <v>1.1458969193927592E-2</v>
      </c>
      <c r="AG75" s="19">
        <f t="shared" si="35"/>
        <v>1.274999100520025</v>
      </c>
      <c r="AH75" s="19">
        <f>IF($H75&gt;0,'Calculation Constants'!$B$9*Hydraulics!$K75^2/2/9.81/MAX($F$4:$F$253)*$H75,"")</f>
        <v>6.3421890311175441E-2</v>
      </c>
      <c r="AI75" s="19">
        <f t="shared" si="47"/>
        <v>1.3384209908312004</v>
      </c>
      <c r="AJ75" s="19">
        <f t="shared" si="36"/>
        <v>0</v>
      </c>
      <c r="AK75" s="19">
        <f t="shared" si="48"/>
        <v>56.058319559290226</v>
      </c>
      <c r="AL75" s="23">
        <f t="shared" si="49"/>
        <v>1030.0263195592902</v>
      </c>
      <c r="AM75" s="22">
        <f>(1/(2*LOG(3.7*($I75-0.008)/'Calculation Constants'!$B$5*1000)))^2</f>
        <v>1.4542845531075887E-2</v>
      </c>
      <c r="AN75" s="19">
        <f t="shared" si="50"/>
        <v>1.6249731396833385</v>
      </c>
      <c r="AO75" s="19">
        <f>IF($H75&gt;0,'Calculation Constants'!$B$9*Hydraulics!$K75^2/2/9.81/MAX($F$4:$F$253)*$H75,"")</f>
        <v>6.3421890311175441E-2</v>
      </c>
      <c r="AP75" s="19">
        <f t="shared" si="51"/>
        <v>1.6883950299945139</v>
      </c>
      <c r="AQ75" s="19">
        <f t="shared" si="37"/>
        <v>0</v>
      </c>
      <c r="AR75" s="19">
        <f t="shared" si="52"/>
        <v>34.709903170331813</v>
      </c>
      <c r="AS75" s="23">
        <f t="shared" si="53"/>
        <v>1008.6779031703318</v>
      </c>
    </row>
    <row r="76" spans="5:45">
      <c r="E76" s="35" t="str">
        <f t="shared" si="3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1.9</v>
      </c>
      <c r="J76" s="36">
        <f>'Flow Rate Calculations'!$B$7</f>
        <v>4.0831050228310497</v>
      </c>
      <c r="K76" s="36">
        <f t="shared" si="39"/>
        <v>1.440102709245225</v>
      </c>
      <c r="L76" s="37">
        <f>$I76*$K76/'Calculation Constants'!$B$7</f>
        <v>2421411.6350140949</v>
      </c>
      <c r="M76" s="37">
        <f t="shared" si="40"/>
        <v>149.19700000000012</v>
      </c>
      <c r="N76" s="23">
        <f t="shared" si="41"/>
        <v>85.454775298900586</v>
      </c>
      <c r="O76" s="57">
        <f t="shared" si="29"/>
        <v>149.19700000000012</v>
      </c>
      <c r="P76" s="66">
        <f>MAX(I76*1000/'Calculation Constants'!$B$14,O76*10*I76*1000/2/('Calculation Constants'!$B$12*1000*'Calculation Constants'!$B$13))</f>
        <v>11.875</v>
      </c>
      <c r="Q76" s="68">
        <f t="shared" si="30"/>
        <v>1105894.9783427313</v>
      </c>
      <c r="R76" s="27">
        <f>(1/(2*LOG(3.7*$I76/'Calculation Constants'!$B$2*1000)))^2</f>
        <v>8.6699836115820689E-3</v>
      </c>
      <c r="S76" s="19">
        <f t="shared" si="42"/>
        <v>0.96467850809376621</v>
      </c>
      <c r="T76" s="19">
        <f>IF($H76&gt;0,'Calculation Constants'!$B$9*Hydraulics!$K76^2/2/9.81/MAX($F$4:$F$253)*$H76,"")</f>
        <v>6.3421890311175441E-2</v>
      </c>
      <c r="U76" s="19">
        <f t="shared" si="43"/>
        <v>1.0281003984049417</v>
      </c>
      <c r="V76" s="19">
        <f t="shared" si="31"/>
        <v>0</v>
      </c>
      <c r="W76" s="19">
        <f t="shared" si="32"/>
        <v>85.454775298900586</v>
      </c>
      <c r="X76" s="23">
        <f t="shared" si="44"/>
        <v>1047.9277752989005</v>
      </c>
      <c r="Y76" s="22">
        <f>(1/(2*LOG(3.7*$I76/'Calculation Constants'!$B$3*1000)))^2</f>
        <v>9.7303620360708887E-3</v>
      </c>
      <c r="Z76" s="19">
        <f t="shared" si="33"/>
        <v>1.0826630767363397</v>
      </c>
      <c r="AA76" s="19">
        <f>IF($H76&gt;0,'Calculation Constants'!$B$9*Hydraulics!$K76^2/2/9.81/MAX($F$4:$F$253)*$H76,"")</f>
        <v>6.3421890311175441E-2</v>
      </c>
      <c r="AB76" s="19">
        <f t="shared" si="55"/>
        <v>1.1460849670475151</v>
      </c>
      <c r="AC76" s="19">
        <f t="shared" si="34"/>
        <v>0</v>
      </c>
      <c r="AD76" s="19">
        <f t="shared" si="45"/>
        <v>78.139732043055119</v>
      </c>
      <c r="AE76" s="23">
        <f t="shared" si="46"/>
        <v>1040.6127320430551</v>
      </c>
      <c r="AF76" s="27">
        <f>(1/(2*LOG(3.7*$I76/'Calculation Constants'!$B$4*1000)))^2</f>
        <v>1.1458969193927592E-2</v>
      </c>
      <c r="AG76" s="19">
        <f t="shared" si="35"/>
        <v>1.274999100520025</v>
      </c>
      <c r="AH76" s="19">
        <f>IF($H76&gt;0,'Calculation Constants'!$B$9*Hydraulics!$K76^2/2/9.81/MAX($F$4:$F$253)*$H76,"")</f>
        <v>6.3421890311175441E-2</v>
      </c>
      <c r="AI76" s="19">
        <f t="shared" si="47"/>
        <v>1.3384209908312004</v>
      </c>
      <c r="AJ76" s="19">
        <f t="shared" si="36"/>
        <v>0</v>
      </c>
      <c r="AK76" s="19">
        <f t="shared" si="48"/>
        <v>66.214898568458921</v>
      </c>
      <c r="AL76" s="23">
        <f t="shared" si="49"/>
        <v>1028.6878985684589</v>
      </c>
      <c r="AM76" s="22">
        <f>(1/(2*LOG(3.7*($I76-0.008)/'Calculation Constants'!$B$5*1000)))^2</f>
        <v>1.4542845531075887E-2</v>
      </c>
      <c r="AN76" s="19">
        <f t="shared" si="50"/>
        <v>1.6249731396833385</v>
      </c>
      <c r="AO76" s="19">
        <f>IF($H76&gt;0,'Calculation Constants'!$B$9*Hydraulics!$K76^2/2/9.81/MAX($F$4:$F$253)*$H76,"")</f>
        <v>6.3421890311175441E-2</v>
      </c>
      <c r="AP76" s="19">
        <f t="shared" si="51"/>
        <v>1.6883950299945139</v>
      </c>
      <c r="AQ76" s="19">
        <f t="shared" si="37"/>
        <v>0</v>
      </c>
      <c r="AR76" s="19">
        <f t="shared" si="52"/>
        <v>44.516508140337351</v>
      </c>
      <c r="AS76" s="23">
        <f t="shared" si="53"/>
        <v>1006.9895081403373</v>
      </c>
    </row>
    <row r="77" spans="5:45">
      <c r="E77" s="35" t="str">
        <f t="shared" si="3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1.9</v>
      </c>
      <c r="J77" s="36">
        <f>'Flow Rate Calculations'!$B$7</f>
        <v>4.0831050228310497</v>
      </c>
      <c r="K77" s="36">
        <f t="shared" si="39"/>
        <v>1.440102709245225</v>
      </c>
      <c r="L77" s="37">
        <f>$I77*$K77/'Calculation Constants'!$B$7</f>
        <v>2421411.6350140949</v>
      </c>
      <c r="M77" s="37">
        <f t="shared" si="40"/>
        <v>160.3850000000001</v>
      </c>
      <c r="N77" s="23">
        <f t="shared" si="41"/>
        <v>95.614674900495743</v>
      </c>
      <c r="O77" s="57">
        <f t="shared" si="29"/>
        <v>160.3850000000001</v>
      </c>
      <c r="P77" s="66">
        <f>MAX(I77*1000/'Calculation Constants'!$B$14,O77*10*I77*1000/2/('Calculation Constants'!$B$12*1000*'Calculation Constants'!$B$13))</f>
        <v>11.875</v>
      </c>
      <c r="Q77" s="68">
        <f t="shared" si="30"/>
        <v>1105894.9783427313</v>
      </c>
      <c r="R77" s="27">
        <f>(1/(2*LOG(3.7*$I77/'Calculation Constants'!$B$2*1000)))^2</f>
        <v>8.6699836115820689E-3</v>
      </c>
      <c r="S77" s="19">
        <f t="shared" si="42"/>
        <v>0.96467850809376621</v>
      </c>
      <c r="T77" s="19">
        <f>IF($H77&gt;0,'Calculation Constants'!$B$9*Hydraulics!$K77^2/2/9.81/MAX($F$4:$F$253)*$H77,"")</f>
        <v>6.3421890311175441E-2</v>
      </c>
      <c r="U77" s="19">
        <f t="shared" si="43"/>
        <v>1.0281003984049417</v>
      </c>
      <c r="V77" s="19">
        <f t="shared" si="31"/>
        <v>0</v>
      </c>
      <c r="W77" s="19">
        <f t="shared" si="32"/>
        <v>95.614674900495743</v>
      </c>
      <c r="X77" s="23">
        <f t="shared" si="44"/>
        <v>1046.8996749004957</v>
      </c>
      <c r="Y77" s="22">
        <f>(1/(2*LOG(3.7*$I77/'Calculation Constants'!$B$3*1000)))^2</f>
        <v>9.7303620360708887E-3</v>
      </c>
      <c r="Z77" s="19">
        <f t="shared" si="33"/>
        <v>1.0826630767363397</v>
      </c>
      <c r="AA77" s="19">
        <f>IF($H77&gt;0,'Calculation Constants'!$B$9*Hydraulics!$K77^2/2/9.81/MAX($F$4:$F$253)*$H77,"")</f>
        <v>6.3421890311175441E-2</v>
      </c>
      <c r="AB77" s="19">
        <f t="shared" si="55"/>
        <v>1.1460849670475151</v>
      </c>
      <c r="AC77" s="19">
        <f t="shared" si="34"/>
        <v>0</v>
      </c>
      <c r="AD77" s="19">
        <f t="shared" si="45"/>
        <v>88.181647076007607</v>
      </c>
      <c r="AE77" s="23">
        <f t="shared" si="46"/>
        <v>1039.4666470760076</v>
      </c>
      <c r="AF77" s="27">
        <f>(1/(2*LOG(3.7*$I77/'Calculation Constants'!$B$4*1000)))^2</f>
        <v>1.1458969193927592E-2</v>
      </c>
      <c r="AG77" s="19">
        <f t="shared" si="35"/>
        <v>1.274999100520025</v>
      </c>
      <c r="AH77" s="19">
        <f>IF($H77&gt;0,'Calculation Constants'!$B$9*Hydraulics!$K77^2/2/9.81/MAX($F$4:$F$253)*$H77,"")</f>
        <v>6.3421890311175441E-2</v>
      </c>
      <c r="AI77" s="19">
        <f t="shared" si="47"/>
        <v>1.3384209908312004</v>
      </c>
      <c r="AJ77" s="19">
        <f t="shared" si="36"/>
        <v>0</v>
      </c>
      <c r="AK77" s="19">
        <f t="shared" si="48"/>
        <v>76.064477577627599</v>
      </c>
      <c r="AL77" s="23">
        <f t="shared" si="49"/>
        <v>1027.3494775776276</v>
      </c>
      <c r="AM77" s="22">
        <f>(1/(2*LOG(3.7*($I77-0.008)/'Calculation Constants'!$B$5*1000)))^2</f>
        <v>1.4542845531075887E-2</v>
      </c>
      <c r="AN77" s="19">
        <f t="shared" si="50"/>
        <v>1.6249731396833385</v>
      </c>
      <c r="AO77" s="19">
        <f>IF($H77&gt;0,'Calculation Constants'!$B$9*Hydraulics!$K77^2/2/9.81/MAX($F$4:$F$253)*$H77,"")</f>
        <v>6.3421890311175441E-2</v>
      </c>
      <c r="AP77" s="19">
        <f t="shared" si="51"/>
        <v>1.6883950299945139</v>
      </c>
      <c r="AQ77" s="19">
        <f t="shared" si="37"/>
        <v>0</v>
      </c>
      <c r="AR77" s="19">
        <f t="shared" si="52"/>
        <v>54.016113110342872</v>
      </c>
      <c r="AS77" s="23">
        <f t="shared" si="53"/>
        <v>1005.3011131103428</v>
      </c>
    </row>
    <row r="78" spans="5:45">
      <c r="E78" s="35" t="str">
        <f t="shared" si="3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1.9</v>
      </c>
      <c r="J78" s="36">
        <f>'Flow Rate Calculations'!$B$7</f>
        <v>4.0831050228310497</v>
      </c>
      <c r="K78" s="36">
        <f t="shared" si="39"/>
        <v>1.440102709245225</v>
      </c>
      <c r="L78" s="37">
        <f>$I78*$K78/'Calculation Constants'!$B$7</f>
        <v>2421411.6350140949</v>
      </c>
      <c r="M78" s="37">
        <f t="shared" si="40"/>
        <v>163.49600000000009</v>
      </c>
      <c r="N78" s="23">
        <f t="shared" si="41"/>
        <v>97.697574502090902</v>
      </c>
      <c r="O78" s="57">
        <f t="shared" si="29"/>
        <v>163.49600000000009</v>
      </c>
      <c r="P78" s="66">
        <f>MAX(I78*1000/'Calculation Constants'!$B$14,O78*10*I78*1000/2/('Calculation Constants'!$B$12*1000*'Calculation Constants'!$B$13))</f>
        <v>11.875</v>
      </c>
      <c r="Q78" s="68">
        <f t="shared" si="30"/>
        <v>1105894.9783427313</v>
      </c>
      <c r="R78" s="27">
        <f>(1/(2*LOG(3.7*$I78/'Calculation Constants'!$B$2*1000)))^2</f>
        <v>8.6699836115820689E-3</v>
      </c>
      <c r="S78" s="19">
        <f t="shared" si="42"/>
        <v>0.96467850809376621</v>
      </c>
      <c r="T78" s="19">
        <f>IF($H78&gt;0,'Calculation Constants'!$B$9*Hydraulics!$K78^2/2/9.81/MAX($F$4:$F$253)*$H78,"")</f>
        <v>6.3421890311175441E-2</v>
      </c>
      <c r="U78" s="19">
        <f t="shared" si="43"/>
        <v>1.0281003984049417</v>
      </c>
      <c r="V78" s="19">
        <f t="shared" si="31"/>
        <v>0</v>
      </c>
      <c r="W78" s="19">
        <f t="shared" si="32"/>
        <v>97.697574502090902</v>
      </c>
      <c r="X78" s="23">
        <f t="shared" si="44"/>
        <v>1045.8715745020909</v>
      </c>
      <c r="Y78" s="22">
        <f>(1/(2*LOG(3.7*$I78/'Calculation Constants'!$B$3*1000)))^2</f>
        <v>9.7303620360708887E-3</v>
      </c>
      <c r="Z78" s="19">
        <f t="shared" si="33"/>
        <v>1.0826630767363397</v>
      </c>
      <c r="AA78" s="19">
        <f>IF($H78&gt;0,'Calculation Constants'!$B$9*Hydraulics!$K78^2/2/9.81/MAX($F$4:$F$253)*$H78,"")</f>
        <v>6.3421890311175441E-2</v>
      </c>
      <c r="AB78" s="19">
        <f t="shared" si="55"/>
        <v>1.1460849670475151</v>
      </c>
      <c r="AC78" s="19">
        <f t="shared" si="34"/>
        <v>0</v>
      </c>
      <c r="AD78" s="19">
        <f t="shared" si="45"/>
        <v>90.146562108960097</v>
      </c>
      <c r="AE78" s="23">
        <f t="shared" si="46"/>
        <v>1038.3205621089601</v>
      </c>
      <c r="AF78" s="27">
        <f>(1/(2*LOG(3.7*$I78/'Calculation Constants'!$B$4*1000)))^2</f>
        <v>1.1458969193927592E-2</v>
      </c>
      <c r="AG78" s="19">
        <f t="shared" si="35"/>
        <v>1.274999100520025</v>
      </c>
      <c r="AH78" s="19">
        <f>IF($H78&gt;0,'Calculation Constants'!$B$9*Hydraulics!$K78^2/2/9.81/MAX($F$4:$F$253)*$H78,"")</f>
        <v>6.3421890311175441E-2</v>
      </c>
      <c r="AI78" s="19">
        <f t="shared" si="47"/>
        <v>1.3384209908312004</v>
      </c>
      <c r="AJ78" s="19">
        <f t="shared" si="36"/>
        <v>0</v>
      </c>
      <c r="AK78" s="19">
        <f t="shared" si="48"/>
        <v>77.83705658679628</v>
      </c>
      <c r="AL78" s="23">
        <f t="shared" si="49"/>
        <v>1026.0110565867963</v>
      </c>
      <c r="AM78" s="22">
        <f>(1/(2*LOG(3.7*($I78-0.008)/'Calculation Constants'!$B$5*1000)))^2</f>
        <v>1.4542845531075887E-2</v>
      </c>
      <c r="AN78" s="19">
        <f t="shared" si="50"/>
        <v>1.6249731396833385</v>
      </c>
      <c r="AO78" s="19">
        <f>IF($H78&gt;0,'Calculation Constants'!$B$9*Hydraulics!$K78^2/2/9.81/MAX($F$4:$F$253)*$H78,"")</f>
        <v>6.3421890311175441E-2</v>
      </c>
      <c r="AP78" s="19">
        <f t="shared" si="51"/>
        <v>1.6883950299945139</v>
      </c>
      <c r="AQ78" s="19">
        <f t="shared" si="37"/>
        <v>0</v>
      </c>
      <c r="AR78" s="19">
        <f t="shared" si="52"/>
        <v>55.438718080348394</v>
      </c>
      <c r="AS78" s="23">
        <f t="shared" si="53"/>
        <v>1003.6127180803484</v>
      </c>
    </row>
    <row r="79" spans="5:45">
      <c r="E79" s="35" t="str">
        <f t="shared" si="3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1.9</v>
      </c>
      <c r="J79" s="36">
        <f>'Flow Rate Calculations'!$B$7</f>
        <v>4.0831050228310497</v>
      </c>
      <c r="K79" s="36">
        <f t="shared" si="39"/>
        <v>1.440102709245225</v>
      </c>
      <c r="L79" s="37">
        <f>$I79*$K79/'Calculation Constants'!$B$7</f>
        <v>2421411.6350140949</v>
      </c>
      <c r="M79" s="37">
        <f t="shared" si="40"/>
        <v>167.02900000000011</v>
      </c>
      <c r="N79" s="23">
        <f t="shared" si="41"/>
        <v>100.20247410368609</v>
      </c>
      <c r="O79" s="57">
        <f t="shared" si="29"/>
        <v>167.02900000000011</v>
      </c>
      <c r="P79" s="66">
        <f>MAX(I79*1000/'Calculation Constants'!$B$14,O79*10*I79*1000/2/('Calculation Constants'!$B$12*1000*'Calculation Constants'!$B$13))</f>
        <v>11.875</v>
      </c>
      <c r="Q79" s="68">
        <f t="shared" si="30"/>
        <v>1105894.9783427313</v>
      </c>
      <c r="R79" s="27">
        <f>(1/(2*LOG(3.7*$I79/'Calculation Constants'!$B$2*1000)))^2</f>
        <v>8.6699836115820689E-3</v>
      </c>
      <c r="S79" s="19">
        <f t="shared" si="42"/>
        <v>0.96467850809376621</v>
      </c>
      <c r="T79" s="19">
        <f>IF($H79&gt;0,'Calculation Constants'!$B$9*Hydraulics!$K79^2/2/9.81/MAX($F$4:$F$253)*$H79,"")</f>
        <v>6.3421890311175441E-2</v>
      </c>
      <c r="U79" s="19">
        <f t="shared" si="43"/>
        <v>1.0281003984049417</v>
      </c>
      <c r="V79" s="19">
        <f t="shared" si="31"/>
        <v>0</v>
      </c>
      <c r="W79" s="19">
        <f t="shared" si="32"/>
        <v>100.20247410368609</v>
      </c>
      <c r="X79" s="23">
        <f t="shared" si="44"/>
        <v>1044.843474103686</v>
      </c>
      <c r="Y79" s="22">
        <f>(1/(2*LOG(3.7*$I79/'Calculation Constants'!$B$3*1000)))^2</f>
        <v>9.7303620360708887E-3</v>
      </c>
      <c r="Z79" s="19">
        <f t="shared" si="33"/>
        <v>1.0826630767363397</v>
      </c>
      <c r="AA79" s="19">
        <f>IF($H79&gt;0,'Calculation Constants'!$B$9*Hydraulics!$K79^2/2/9.81/MAX($F$4:$F$253)*$H79,"")</f>
        <v>6.3421890311175441E-2</v>
      </c>
      <c r="AB79" s="19">
        <f t="shared" si="55"/>
        <v>1.1460849670475151</v>
      </c>
      <c r="AC79" s="19">
        <f t="shared" si="34"/>
        <v>0</v>
      </c>
      <c r="AD79" s="19">
        <f t="shared" si="45"/>
        <v>92.533477141912613</v>
      </c>
      <c r="AE79" s="23">
        <f t="shared" si="46"/>
        <v>1037.1744771419126</v>
      </c>
      <c r="AF79" s="27">
        <f>(1/(2*LOG(3.7*$I79/'Calculation Constants'!$B$4*1000)))^2</f>
        <v>1.1458969193927592E-2</v>
      </c>
      <c r="AG79" s="19">
        <f t="shared" si="35"/>
        <v>1.274999100520025</v>
      </c>
      <c r="AH79" s="19">
        <f>IF($H79&gt;0,'Calculation Constants'!$B$9*Hydraulics!$K79^2/2/9.81/MAX($F$4:$F$253)*$H79,"")</f>
        <v>6.3421890311175441E-2</v>
      </c>
      <c r="AI79" s="19">
        <f t="shared" si="47"/>
        <v>1.3384209908312004</v>
      </c>
      <c r="AJ79" s="19">
        <f t="shared" si="36"/>
        <v>0</v>
      </c>
      <c r="AK79" s="19">
        <f t="shared" si="48"/>
        <v>80.031635595964985</v>
      </c>
      <c r="AL79" s="23">
        <f t="shared" si="49"/>
        <v>1024.6726355959649</v>
      </c>
      <c r="AM79" s="22">
        <f>(1/(2*LOG(3.7*($I79-0.008)/'Calculation Constants'!$B$5*1000)))^2</f>
        <v>1.4542845531075887E-2</v>
      </c>
      <c r="AN79" s="19">
        <f t="shared" si="50"/>
        <v>1.6249731396833385</v>
      </c>
      <c r="AO79" s="19">
        <f>IF($H79&gt;0,'Calculation Constants'!$B$9*Hydraulics!$K79^2/2/9.81/MAX($F$4:$F$253)*$H79,"")</f>
        <v>6.3421890311175441E-2</v>
      </c>
      <c r="AP79" s="19">
        <f t="shared" si="51"/>
        <v>1.6883950299945139</v>
      </c>
      <c r="AQ79" s="19">
        <f t="shared" si="37"/>
        <v>0</v>
      </c>
      <c r="AR79" s="19">
        <f t="shared" si="52"/>
        <v>57.283323050353943</v>
      </c>
      <c r="AS79" s="23">
        <f t="shared" si="53"/>
        <v>1001.9243230503539</v>
      </c>
    </row>
    <row r="80" spans="5:45">
      <c r="E80" s="35" t="str">
        <f t="shared" si="3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1.9</v>
      </c>
      <c r="J80" s="36">
        <f>'Flow Rate Calculations'!$B$7</f>
        <v>4.0831050228310497</v>
      </c>
      <c r="K80" s="36">
        <f t="shared" si="39"/>
        <v>1.440102709245225</v>
      </c>
      <c r="L80" s="37">
        <f>$I80*$K80/'Calculation Constants'!$B$7</f>
        <v>2421411.6350140949</v>
      </c>
      <c r="M80" s="37">
        <f t="shared" si="40"/>
        <v>170.10400000000004</v>
      </c>
      <c r="N80" s="23">
        <f t="shared" si="41"/>
        <v>102.24937370528119</v>
      </c>
      <c r="O80" s="57">
        <f t="shared" si="29"/>
        <v>170.10400000000004</v>
      </c>
      <c r="P80" s="66">
        <f>MAX(I80*1000/'Calculation Constants'!$B$14,O80*10*I80*1000/2/('Calculation Constants'!$B$12*1000*'Calculation Constants'!$B$13))</f>
        <v>11.875</v>
      </c>
      <c r="Q80" s="68">
        <f t="shared" si="30"/>
        <v>1105894.9783427313</v>
      </c>
      <c r="R80" s="27">
        <f>(1/(2*LOG(3.7*$I80/'Calculation Constants'!$B$2*1000)))^2</f>
        <v>8.6699836115820689E-3</v>
      </c>
      <c r="S80" s="19">
        <f t="shared" si="42"/>
        <v>0.96467850809376621</v>
      </c>
      <c r="T80" s="19">
        <f>IF($H80&gt;0,'Calculation Constants'!$B$9*Hydraulics!$K80^2/2/9.81/MAX($F$4:$F$253)*$H80,"")</f>
        <v>6.3421890311175441E-2</v>
      </c>
      <c r="U80" s="19">
        <f t="shared" si="43"/>
        <v>1.0281003984049417</v>
      </c>
      <c r="V80" s="19">
        <f t="shared" si="31"/>
        <v>0</v>
      </c>
      <c r="W80" s="19">
        <f t="shared" si="32"/>
        <v>102.24937370528119</v>
      </c>
      <c r="X80" s="23">
        <f t="shared" si="44"/>
        <v>1043.8153737052812</v>
      </c>
      <c r="Y80" s="22">
        <f>(1/(2*LOG(3.7*$I80/'Calculation Constants'!$B$3*1000)))^2</f>
        <v>9.7303620360708887E-3</v>
      </c>
      <c r="Z80" s="19">
        <f t="shared" si="33"/>
        <v>1.0826630767363397</v>
      </c>
      <c r="AA80" s="19">
        <f>IF($H80&gt;0,'Calculation Constants'!$B$9*Hydraulics!$K80^2/2/9.81/MAX($F$4:$F$253)*$H80,"")</f>
        <v>6.3421890311175441E-2</v>
      </c>
      <c r="AB80" s="19">
        <f t="shared" si="55"/>
        <v>1.1460849670475151</v>
      </c>
      <c r="AC80" s="19">
        <f t="shared" si="34"/>
        <v>0</v>
      </c>
      <c r="AD80" s="19">
        <f t="shared" si="45"/>
        <v>94.462392174865045</v>
      </c>
      <c r="AE80" s="23">
        <f t="shared" si="46"/>
        <v>1036.0283921748651</v>
      </c>
      <c r="AF80" s="27">
        <f>(1/(2*LOG(3.7*$I80/'Calculation Constants'!$B$4*1000)))^2</f>
        <v>1.1458969193927592E-2</v>
      </c>
      <c r="AG80" s="19">
        <f t="shared" si="35"/>
        <v>1.274999100520025</v>
      </c>
      <c r="AH80" s="19">
        <f>IF($H80&gt;0,'Calculation Constants'!$B$9*Hydraulics!$K80^2/2/9.81/MAX($F$4:$F$253)*$H80,"")</f>
        <v>6.3421890311175441E-2</v>
      </c>
      <c r="AI80" s="19">
        <f t="shared" si="47"/>
        <v>1.3384209908312004</v>
      </c>
      <c r="AJ80" s="19">
        <f t="shared" si="36"/>
        <v>0</v>
      </c>
      <c r="AK80" s="19">
        <f t="shared" si="48"/>
        <v>81.768214605133721</v>
      </c>
      <c r="AL80" s="23">
        <f t="shared" si="49"/>
        <v>1023.3342146051338</v>
      </c>
      <c r="AM80" s="22">
        <f>(1/(2*LOG(3.7*($I80-0.008)/'Calculation Constants'!$B$5*1000)))^2</f>
        <v>1.4542845531075887E-2</v>
      </c>
      <c r="AN80" s="19">
        <f t="shared" si="50"/>
        <v>1.6249731396833385</v>
      </c>
      <c r="AO80" s="19">
        <f>IF($H80&gt;0,'Calculation Constants'!$B$9*Hydraulics!$K80^2/2/9.81/MAX($F$4:$F$253)*$H80,"")</f>
        <v>6.3421890311175441E-2</v>
      </c>
      <c r="AP80" s="19">
        <f t="shared" si="51"/>
        <v>1.6883950299945139</v>
      </c>
      <c r="AQ80" s="19">
        <f t="shared" si="37"/>
        <v>0</v>
      </c>
      <c r="AR80" s="19">
        <f t="shared" si="52"/>
        <v>58.669928020359407</v>
      </c>
      <c r="AS80" s="23">
        <f t="shared" si="53"/>
        <v>1000.2359280203594</v>
      </c>
    </row>
    <row r="81" spans="5:45">
      <c r="E81" s="35" t="str">
        <f t="shared" si="3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1.9</v>
      </c>
      <c r="J81" s="36">
        <f>'Flow Rate Calculations'!$B$7</f>
        <v>4.0831050228310497</v>
      </c>
      <c r="K81" s="36">
        <f t="shared" si="39"/>
        <v>1.440102709245225</v>
      </c>
      <c r="L81" s="37">
        <f>$I81*$K81/'Calculation Constants'!$B$7</f>
        <v>2421411.6350140949</v>
      </c>
      <c r="M81" s="37">
        <f t="shared" si="40"/>
        <v>170.72800000000007</v>
      </c>
      <c r="N81" s="23">
        <f t="shared" si="41"/>
        <v>101.84527330687638</v>
      </c>
      <c r="O81" s="57">
        <f t="shared" si="29"/>
        <v>170.72800000000007</v>
      </c>
      <c r="P81" s="66">
        <f>MAX(I81*1000/'Calculation Constants'!$B$14,O81*10*I81*1000/2/('Calculation Constants'!$B$12*1000*'Calculation Constants'!$B$13))</f>
        <v>11.875</v>
      </c>
      <c r="Q81" s="68">
        <f t="shared" si="30"/>
        <v>1105894.9783427313</v>
      </c>
      <c r="R81" s="27">
        <f>(1/(2*LOG(3.7*$I81/'Calculation Constants'!$B$2*1000)))^2</f>
        <v>8.6699836115820689E-3</v>
      </c>
      <c r="S81" s="19">
        <f t="shared" si="42"/>
        <v>0.96467850809376621</v>
      </c>
      <c r="T81" s="19">
        <f>IF($H81&gt;0,'Calculation Constants'!$B$9*Hydraulics!$K81^2/2/9.81/MAX($F$4:$F$253)*$H81,"")</f>
        <v>6.3421890311175441E-2</v>
      </c>
      <c r="U81" s="19">
        <f t="shared" si="43"/>
        <v>1.0281003984049417</v>
      </c>
      <c r="V81" s="19">
        <f t="shared" si="31"/>
        <v>0</v>
      </c>
      <c r="W81" s="19">
        <f t="shared" si="32"/>
        <v>101.84527330687638</v>
      </c>
      <c r="X81" s="23">
        <f t="shared" si="44"/>
        <v>1042.7872733068764</v>
      </c>
      <c r="Y81" s="22">
        <f>(1/(2*LOG(3.7*$I81/'Calculation Constants'!$B$3*1000)))^2</f>
        <v>9.7303620360708887E-3</v>
      </c>
      <c r="Z81" s="19">
        <f t="shared" si="33"/>
        <v>1.0826630767363397</v>
      </c>
      <c r="AA81" s="19">
        <f>IF($H81&gt;0,'Calculation Constants'!$B$9*Hydraulics!$K81^2/2/9.81/MAX($F$4:$F$253)*$H81,"")</f>
        <v>6.3421890311175441E-2</v>
      </c>
      <c r="AB81" s="19">
        <f t="shared" si="55"/>
        <v>1.1460849670475151</v>
      </c>
      <c r="AC81" s="19">
        <f t="shared" si="34"/>
        <v>0</v>
      </c>
      <c r="AD81" s="19">
        <f t="shared" si="45"/>
        <v>93.940307207817568</v>
      </c>
      <c r="AE81" s="23">
        <f t="shared" si="46"/>
        <v>1034.8823072078176</v>
      </c>
      <c r="AF81" s="27">
        <f>(1/(2*LOG(3.7*$I81/'Calculation Constants'!$B$4*1000)))^2</f>
        <v>1.1458969193927592E-2</v>
      </c>
      <c r="AG81" s="19">
        <f t="shared" si="35"/>
        <v>1.274999100520025</v>
      </c>
      <c r="AH81" s="19">
        <f>IF($H81&gt;0,'Calculation Constants'!$B$9*Hydraulics!$K81^2/2/9.81/MAX($F$4:$F$253)*$H81,"")</f>
        <v>6.3421890311175441E-2</v>
      </c>
      <c r="AI81" s="19">
        <f t="shared" si="47"/>
        <v>1.3384209908312004</v>
      </c>
      <c r="AJ81" s="19">
        <f t="shared" si="36"/>
        <v>0</v>
      </c>
      <c r="AK81" s="19">
        <f t="shared" si="48"/>
        <v>81.053793614302549</v>
      </c>
      <c r="AL81" s="23">
        <f t="shared" si="49"/>
        <v>1021.9957936143026</v>
      </c>
      <c r="AM81" s="22">
        <f>(1/(2*LOG(3.7*($I81-0.008)/'Calculation Constants'!$B$5*1000)))^2</f>
        <v>1.4542845531075887E-2</v>
      </c>
      <c r="AN81" s="19">
        <f t="shared" si="50"/>
        <v>1.6249731396833385</v>
      </c>
      <c r="AO81" s="19">
        <f>IF($H81&gt;0,'Calculation Constants'!$B$9*Hydraulics!$K81^2/2/9.81/MAX($F$4:$F$253)*$H81,"")</f>
        <v>6.3421890311175441E-2</v>
      </c>
      <c r="AP81" s="19">
        <f t="shared" si="51"/>
        <v>1.6883950299945139</v>
      </c>
      <c r="AQ81" s="19">
        <f t="shared" si="37"/>
        <v>0</v>
      </c>
      <c r="AR81" s="19">
        <f t="shared" si="52"/>
        <v>57.605532990364964</v>
      </c>
      <c r="AS81" s="23">
        <f t="shared" si="53"/>
        <v>998.54753299036497</v>
      </c>
    </row>
    <row r="82" spans="5:45">
      <c r="E82" s="35" t="str">
        <f t="shared" si="3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1.9</v>
      </c>
      <c r="J82" s="36">
        <f>'Flow Rate Calculations'!$B$7</f>
        <v>4.0831050228310497</v>
      </c>
      <c r="K82" s="36">
        <f t="shared" si="39"/>
        <v>1.440102709245225</v>
      </c>
      <c r="L82" s="37">
        <f>$I82*$K82/'Calculation Constants'!$B$7</f>
        <v>2421411.6350140949</v>
      </c>
      <c r="M82" s="37">
        <f t="shared" si="40"/>
        <v>171.94400000000007</v>
      </c>
      <c r="N82" s="23">
        <f t="shared" si="41"/>
        <v>102.03317290847156</v>
      </c>
      <c r="O82" s="57">
        <f t="shared" si="29"/>
        <v>171.94400000000007</v>
      </c>
      <c r="P82" s="66">
        <f>MAX(I82*1000/'Calculation Constants'!$B$14,O82*10*I82*1000/2/('Calculation Constants'!$B$12*1000*'Calculation Constants'!$B$13))</f>
        <v>11.875</v>
      </c>
      <c r="Q82" s="68">
        <f t="shared" si="30"/>
        <v>1105894.9783427313</v>
      </c>
      <c r="R82" s="27">
        <f>(1/(2*LOG(3.7*$I82/'Calculation Constants'!$B$2*1000)))^2</f>
        <v>8.6699836115820689E-3</v>
      </c>
      <c r="S82" s="19">
        <f t="shared" si="42"/>
        <v>0.96467850809376621</v>
      </c>
      <c r="T82" s="19">
        <f>IF($H82&gt;0,'Calculation Constants'!$B$9*Hydraulics!$K82^2/2/9.81/MAX($F$4:$F$253)*$H82,"")</f>
        <v>6.3421890311175441E-2</v>
      </c>
      <c r="U82" s="19">
        <f t="shared" si="43"/>
        <v>1.0281003984049417</v>
      </c>
      <c r="V82" s="19">
        <f t="shared" si="31"/>
        <v>0</v>
      </c>
      <c r="W82" s="19">
        <f t="shared" si="32"/>
        <v>102.03317290847156</v>
      </c>
      <c r="X82" s="23">
        <f t="shared" si="44"/>
        <v>1041.7591729084716</v>
      </c>
      <c r="Y82" s="22">
        <f>(1/(2*LOG(3.7*$I82/'Calculation Constants'!$B$3*1000)))^2</f>
        <v>9.7303620360708887E-3</v>
      </c>
      <c r="Z82" s="19">
        <f t="shared" si="33"/>
        <v>1.0826630767363397</v>
      </c>
      <c r="AA82" s="19">
        <f>IF($H82&gt;0,'Calculation Constants'!$B$9*Hydraulics!$K82^2/2/9.81/MAX($F$4:$F$253)*$H82,"")</f>
        <v>6.3421890311175441E-2</v>
      </c>
      <c r="AB82" s="19">
        <f t="shared" si="55"/>
        <v>1.1460849670475151</v>
      </c>
      <c r="AC82" s="19">
        <f t="shared" si="34"/>
        <v>0</v>
      </c>
      <c r="AD82" s="19">
        <f t="shared" si="45"/>
        <v>94.010222240770076</v>
      </c>
      <c r="AE82" s="23">
        <f t="shared" si="46"/>
        <v>1033.7362222407701</v>
      </c>
      <c r="AF82" s="27">
        <f>(1/(2*LOG(3.7*$I82/'Calculation Constants'!$B$4*1000)))^2</f>
        <v>1.1458969193927592E-2</v>
      </c>
      <c r="AG82" s="19">
        <f t="shared" si="35"/>
        <v>1.274999100520025</v>
      </c>
      <c r="AH82" s="19">
        <f>IF($H82&gt;0,'Calculation Constants'!$B$9*Hydraulics!$K82^2/2/9.81/MAX($F$4:$F$253)*$H82,"")</f>
        <v>6.3421890311175441E-2</v>
      </c>
      <c r="AI82" s="19">
        <f t="shared" si="47"/>
        <v>1.3384209908312004</v>
      </c>
      <c r="AJ82" s="19">
        <f t="shared" si="36"/>
        <v>0</v>
      </c>
      <c r="AK82" s="19">
        <f t="shared" si="48"/>
        <v>80.931372623471361</v>
      </c>
      <c r="AL82" s="23">
        <f t="shared" si="49"/>
        <v>1020.6573726234714</v>
      </c>
      <c r="AM82" s="22">
        <f>(1/(2*LOG(3.7*($I82-0.008)/'Calculation Constants'!$B$5*1000)))^2</f>
        <v>1.4542845531075887E-2</v>
      </c>
      <c r="AN82" s="19">
        <f t="shared" si="50"/>
        <v>1.6249731396833385</v>
      </c>
      <c r="AO82" s="19">
        <f>IF($H82&gt;0,'Calculation Constants'!$B$9*Hydraulics!$K82^2/2/9.81/MAX($F$4:$F$253)*$H82,"")</f>
        <v>6.3421890311175441E-2</v>
      </c>
      <c r="AP82" s="19">
        <f t="shared" si="51"/>
        <v>1.6883950299945139</v>
      </c>
      <c r="AQ82" s="19">
        <f t="shared" si="37"/>
        <v>0</v>
      </c>
      <c r="AR82" s="19">
        <f t="shared" si="52"/>
        <v>57.133137960370505</v>
      </c>
      <c r="AS82" s="23">
        <f t="shared" si="53"/>
        <v>996.8591379603705</v>
      </c>
    </row>
    <row r="83" spans="5:45">
      <c r="E83" s="35" t="str">
        <f t="shared" si="3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1.9</v>
      </c>
      <c r="J83" s="36">
        <f>'Flow Rate Calculations'!$B$7</f>
        <v>4.0831050228310497</v>
      </c>
      <c r="K83" s="36">
        <f t="shared" si="39"/>
        <v>1.440102709245225</v>
      </c>
      <c r="L83" s="37">
        <f>$I83*$K83/'Calculation Constants'!$B$7</f>
        <v>2421411.6350140949</v>
      </c>
      <c r="M83" s="37">
        <f t="shared" si="40"/>
        <v>174.93200000000002</v>
      </c>
      <c r="N83" s="23">
        <f t="shared" si="41"/>
        <v>103.99307251006667</v>
      </c>
      <c r="O83" s="57">
        <f t="shared" si="29"/>
        <v>174.93200000000002</v>
      </c>
      <c r="P83" s="66">
        <f>MAX(I83*1000/'Calculation Constants'!$B$14,O83*10*I83*1000/2/('Calculation Constants'!$B$12*1000*'Calculation Constants'!$B$13))</f>
        <v>11.875</v>
      </c>
      <c r="Q83" s="68">
        <f t="shared" si="30"/>
        <v>1105894.9783427313</v>
      </c>
      <c r="R83" s="27">
        <f>(1/(2*LOG(3.7*$I83/'Calculation Constants'!$B$2*1000)))^2</f>
        <v>8.6699836115820689E-3</v>
      </c>
      <c r="S83" s="19">
        <f t="shared" si="42"/>
        <v>0.96467850809376621</v>
      </c>
      <c r="T83" s="19">
        <f>IF($H83&gt;0,'Calculation Constants'!$B$9*Hydraulics!$K83^2/2/9.81/MAX($F$4:$F$253)*$H83,"")</f>
        <v>6.3421890311175441E-2</v>
      </c>
      <c r="U83" s="19">
        <f t="shared" si="43"/>
        <v>1.0281003984049417</v>
      </c>
      <c r="V83" s="19">
        <f t="shared" si="31"/>
        <v>0</v>
      </c>
      <c r="W83" s="19">
        <f t="shared" si="32"/>
        <v>103.99307251006667</v>
      </c>
      <c r="X83" s="23">
        <f t="shared" si="44"/>
        <v>1040.7310725100667</v>
      </c>
      <c r="Y83" s="22">
        <f>(1/(2*LOG(3.7*$I83/'Calculation Constants'!$B$3*1000)))^2</f>
        <v>9.7303620360708887E-3</v>
      </c>
      <c r="Z83" s="19">
        <f t="shared" si="33"/>
        <v>1.0826630767363397</v>
      </c>
      <c r="AA83" s="19">
        <f>IF($H83&gt;0,'Calculation Constants'!$B$9*Hydraulics!$K83^2/2/9.81/MAX($F$4:$F$253)*$H83,"")</f>
        <v>6.3421890311175441E-2</v>
      </c>
      <c r="AB83" s="19">
        <f t="shared" si="55"/>
        <v>1.1460849670475151</v>
      </c>
      <c r="AC83" s="19">
        <f t="shared" si="34"/>
        <v>0</v>
      </c>
      <c r="AD83" s="19">
        <f t="shared" si="45"/>
        <v>95.852137273722519</v>
      </c>
      <c r="AE83" s="23">
        <f t="shared" si="46"/>
        <v>1032.5901372737226</v>
      </c>
      <c r="AF83" s="27">
        <f>(1/(2*LOG(3.7*$I83/'Calculation Constants'!$B$4*1000)))^2</f>
        <v>1.1458969193927592E-2</v>
      </c>
      <c r="AG83" s="19">
        <f t="shared" si="35"/>
        <v>1.274999100520025</v>
      </c>
      <c r="AH83" s="19">
        <f>IF($H83&gt;0,'Calculation Constants'!$B$9*Hydraulics!$K83^2/2/9.81/MAX($F$4:$F$253)*$H83,"")</f>
        <v>6.3421890311175441E-2</v>
      </c>
      <c r="AI83" s="19">
        <f t="shared" si="47"/>
        <v>1.3384209908312004</v>
      </c>
      <c r="AJ83" s="19">
        <f t="shared" si="36"/>
        <v>0</v>
      </c>
      <c r="AK83" s="19">
        <f t="shared" si="48"/>
        <v>82.580951632640108</v>
      </c>
      <c r="AL83" s="23">
        <f t="shared" si="49"/>
        <v>1019.3189516326402</v>
      </c>
      <c r="AM83" s="22">
        <f>(1/(2*LOG(3.7*($I83-0.008)/'Calculation Constants'!$B$5*1000)))^2</f>
        <v>1.4542845531075887E-2</v>
      </c>
      <c r="AN83" s="19">
        <f t="shared" si="50"/>
        <v>1.6249731396833385</v>
      </c>
      <c r="AO83" s="19">
        <f>IF($H83&gt;0,'Calculation Constants'!$B$9*Hydraulics!$K83^2/2/9.81/MAX($F$4:$F$253)*$H83,"")</f>
        <v>6.3421890311175441E-2</v>
      </c>
      <c r="AP83" s="19">
        <f t="shared" si="51"/>
        <v>1.6883950299945139</v>
      </c>
      <c r="AQ83" s="19">
        <f t="shared" si="37"/>
        <v>0</v>
      </c>
      <c r="AR83" s="19">
        <f t="shared" si="52"/>
        <v>58.43274293037598</v>
      </c>
      <c r="AS83" s="23">
        <f t="shared" si="53"/>
        <v>995.17074293037604</v>
      </c>
    </row>
    <row r="84" spans="5:45">
      <c r="E84" s="35" t="str">
        <f t="shared" si="3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1.9</v>
      </c>
      <c r="J84" s="36">
        <f>'Flow Rate Calculations'!$B$7</f>
        <v>4.0831050228310497</v>
      </c>
      <c r="K84" s="36">
        <f t="shared" si="39"/>
        <v>1.440102709245225</v>
      </c>
      <c r="L84" s="37">
        <f>$I84*$K84/'Calculation Constants'!$B$7</f>
        <v>2421411.6350140949</v>
      </c>
      <c r="M84" s="37">
        <f t="shared" si="40"/>
        <v>178.0200000000001</v>
      </c>
      <c r="N84" s="23">
        <f t="shared" si="41"/>
        <v>106.05297211166192</v>
      </c>
      <c r="O84" s="57">
        <f t="shared" si="29"/>
        <v>178.0200000000001</v>
      </c>
      <c r="P84" s="66">
        <f>MAX(I84*1000/'Calculation Constants'!$B$14,O84*10*I84*1000/2/('Calculation Constants'!$B$12*1000*'Calculation Constants'!$B$13))</f>
        <v>11.875</v>
      </c>
      <c r="Q84" s="68">
        <f t="shared" si="30"/>
        <v>1105894.9783427313</v>
      </c>
      <c r="R84" s="27">
        <f>(1/(2*LOG(3.7*$I84/'Calculation Constants'!$B$2*1000)))^2</f>
        <v>8.6699836115820689E-3</v>
      </c>
      <c r="S84" s="19">
        <f t="shared" si="42"/>
        <v>0.96467850809376621</v>
      </c>
      <c r="T84" s="19">
        <f>IF($H84&gt;0,'Calculation Constants'!$B$9*Hydraulics!$K84^2/2/9.81/MAX($F$4:$F$253)*$H84,"")</f>
        <v>6.3421890311175441E-2</v>
      </c>
      <c r="U84" s="19">
        <f t="shared" si="43"/>
        <v>1.0281003984049417</v>
      </c>
      <c r="V84" s="19">
        <f t="shared" si="31"/>
        <v>0</v>
      </c>
      <c r="W84" s="19">
        <f t="shared" si="32"/>
        <v>106.05297211166192</v>
      </c>
      <c r="X84" s="23">
        <f t="shared" si="44"/>
        <v>1039.7029721116619</v>
      </c>
      <c r="Y84" s="22">
        <f>(1/(2*LOG(3.7*$I84/'Calculation Constants'!$B$3*1000)))^2</f>
        <v>9.7303620360708887E-3</v>
      </c>
      <c r="Z84" s="19">
        <f t="shared" si="33"/>
        <v>1.0826630767363397</v>
      </c>
      <c r="AA84" s="19">
        <f>IF($H84&gt;0,'Calculation Constants'!$B$9*Hydraulics!$K84^2/2/9.81/MAX($F$4:$F$253)*$H84,"")</f>
        <v>6.3421890311175441E-2</v>
      </c>
      <c r="AB84" s="19">
        <f t="shared" si="55"/>
        <v>1.1460849670475151</v>
      </c>
      <c r="AC84" s="19">
        <f t="shared" si="34"/>
        <v>0</v>
      </c>
      <c r="AD84" s="19">
        <f t="shared" si="45"/>
        <v>97.794052306675098</v>
      </c>
      <c r="AE84" s="23">
        <f t="shared" si="46"/>
        <v>1031.4440523066751</v>
      </c>
      <c r="AF84" s="27">
        <f>(1/(2*LOG(3.7*$I84/'Calculation Constants'!$B$4*1000)))^2</f>
        <v>1.1458969193927592E-2</v>
      </c>
      <c r="AG84" s="19">
        <f t="shared" si="35"/>
        <v>1.274999100520025</v>
      </c>
      <c r="AH84" s="19">
        <f>IF($H84&gt;0,'Calculation Constants'!$B$9*Hydraulics!$K84^2/2/9.81/MAX($F$4:$F$253)*$H84,"")</f>
        <v>6.3421890311175441E-2</v>
      </c>
      <c r="AI84" s="19">
        <f t="shared" si="47"/>
        <v>1.3384209908312004</v>
      </c>
      <c r="AJ84" s="19">
        <f t="shared" si="36"/>
        <v>0</v>
      </c>
      <c r="AK84" s="19">
        <f t="shared" si="48"/>
        <v>84.330530641808991</v>
      </c>
      <c r="AL84" s="23">
        <f t="shared" si="49"/>
        <v>1017.980530641809</v>
      </c>
      <c r="AM84" s="22">
        <f>(1/(2*LOG(3.7*($I84-0.008)/'Calculation Constants'!$B$5*1000)))^2</f>
        <v>1.4542845531075887E-2</v>
      </c>
      <c r="AN84" s="19">
        <f t="shared" si="50"/>
        <v>1.6249731396833385</v>
      </c>
      <c r="AO84" s="19">
        <f>IF($H84&gt;0,'Calculation Constants'!$B$9*Hydraulics!$K84^2/2/9.81/MAX($F$4:$F$253)*$H84,"")</f>
        <v>6.3421890311175441E-2</v>
      </c>
      <c r="AP84" s="19">
        <f t="shared" si="51"/>
        <v>1.6883950299945139</v>
      </c>
      <c r="AQ84" s="19">
        <f t="shared" si="37"/>
        <v>0</v>
      </c>
      <c r="AR84" s="19">
        <f t="shared" si="52"/>
        <v>59.832347900381592</v>
      </c>
      <c r="AS84" s="23">
        <f t="shared" si="53"/>
        <v>993.48234790038157</v>
      </c>
    </row>
    <row r="85" spans="5:45">
      <c r="E85" s="35" t="str">
        <f t="shared" si="3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1.8</v>
      </c>
      <c r="J85" s="36">
        <f>'Flow Rate Calculations'!$B$7</f>
        <v>4.0831050228310497</v>
      </c>
      <c r="K85" s="36">
        <f t="shared" si="39"/>
        <v>1.6045588828318709</v>
      </c>
      <c r="L85" s="37">
        <f>$I85*$K85/'Calculation Constants'!$B$7</f>
        <v>2555934.503625989</v>
      </c>
      <c r="M85" s="37">
        <f t="shared" si="40"/>
        <v>178.92500000000007</v>
      </c>
      <c r="N85" s="23">
        <f t="shared" si="41"/>
        <v>105.60399015811811</v>
      </c>
      <c r="O85" s="57">
        <f t="shared" si="29"/>
        <v>178.92500000000007</v>
      </c>
      <c r="P85" s="66">
        <f>MAX(I85*1000/'Calculation Constants'!$B$14,O85*10*I85*1000/2/('Calculation Constants'!$B$12*1000*'Calculation Constants'!$B$13))</f>
        <v>11.25</v>
      </c>
      <c r="Q85" s="68">
        <f t="shared" si="30"/>
        <v>992548.40161508287</v>
      </c>
      <c r="R85" s="27">
        <f>(1/(2*LOG(3.7*$I85/'Calculation Constants'!$B$2*1000)))^2</f>
        <v>8.7463077071963571E-3</v>
      </c>
      <c r="S85" s="19">
        <f t="shared" si="42"/>
        <v>1.2752477269849725</v>
      </c>
      <c r="T85" s="19">
        <f>IF($H85&gt;0,'Calculation Constants'!$B$9*Hydraulics!$K85^2/2/9.81/MAX($F$4:$F$253)*$H85,"")</f>
        <v>7.8734226558858159E-2</v>
      </c>
      <c r="U85" s="19">
        <f t="shared" si="43"/>
        <v>1.3539819535438307</v>
      </c>
      <c r="V85" s="19">
        <f t="shared" si="31"/>
        <v>0</v>
      </c>
      <c r="W85" s="19">
        <f t="shared" si="32"/>
        <v>105.60399015811811</v>
      </c>
      <c r="X85" s="23">
        <f t="shared" si="44"/>
        <v>1038.3489901581181</v>
      </c>
      <c r="Y85" s="22">
        <f>(1/(2*LOG(3.7*$I85/'Calculation Constants'!$B$3*1000)))^2</f>
        <v>9.8211436332891755E-3</v>
      </c>
      <c r="Z85" s="19">
        <f t="shared" si="33"/>
        <v>1.431963236834217</v>
      </c>
      <c r="AA85" s="19">
        <f>IF($H85&gt;0,'Calculation Constants'!$B$9*Hydraulics!$K85^2/2/9.81/MAX($F$4:$F$253)*$H85,"")</f>
        <v>7.8734226558858159E-2</v>
      </c>
      <c r="AB85" s="19">
        <f t="shared" si="55"/>
        <v>1.5106974633930752</v>
      </c>
      <c r="AC85" s="19">
        <f t="shared" si="34"/>
        <v>0</v>
      </c>
      <c r="AD85" s="19">
        <f t="shared" si="45"/>
        <v>97.1883548432819</v>
      </c>
      <c r="AE85" s="23">
        <f t="shared" si="46"/>
        <v>1029.9333548432819</v>
      </c>
      <c r="AF85" s="27">
        <f>(1/(2*LOG(3.7*$I85/'Calculation Constants'!$B$4*1000)))^2</f>
        <v>1.1575055557914658E-2</v>
      </c>
      <c r="AG85" s="19">
        <f t="shared" si="35"/>
        <v>1.6876908272744866</v>
      </c>
      <c r="AH85" s="19">
        <f>IF($H85&gt;0,'Calculation Constants'!$B$9*Hydraulics!$K85^2/2/9.81/MAX($F$4:$F$253)*$H85,"")</f>
        <v>7.8734226558858159E-2</v>
      </c>
      <c r="AI85" s="19">
        <f t="shared" si="47"/>
        <v>1.7664250538333448</v>
      </c>
      <c r="AJ85" s="19">
        <f t="shared" si="36"/>
        <v>0</v>
      </c>
      <c r="AK85" s="19">
        <f t="shared" si="48"/>
        <v>83.469105587975605</v>
      </c>
      <c r="AL85" s="23">
        <f t="shared" si="49"/>
        <v>1016.2141055879756</v>
      </c>
      <c r="AM85" s="22">
        <f>(1/(2*LOG(3.7*($I85-0.008)/'Calculation Constants'!$B$5*1000)))^2</f>
        <v>1.4709705891825043E-2</v>
      </c>
      <c r="AN85" s="19">
        <f t="shared" si="50"/>
        <v>2.1543104841910781</v>
      </c>
      <c r="AO85" s="19">
        <f>IF($H85&gt;0,'Calculation Constants'!$B$9*Hydraulics!$K85^2/2/9.81/MAX($F$4:$F$253)*$H85,"")</f>
        <v>7.8734226558858159E-2</v>
      </c>
      <c r="AP85" s="19">
        <f t="shared" si="51"/>
        <v>2.2330447107499363</v>
      </c>
      <c r="AQ85" s="19">
        <f t="shared" si="37"/>
        <v>0</v>
      </c>
      <c r="AR85" s="19">
        <f t="shared" si="52"/>
        <v>58.504303189631628</v>
      </c>
      <c r="AS85" s="23">
        <f t="shared" si="53"/>
        <v>991.24930318963163</v>
      </c>
    </row>
    <row r="86" spans="5:45">
      <c r="E86" s="35" t="str">
        <f t="shared" si="3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1.8</v>
      </c>
      <c r="J86" s="36">
        <f>'Flow Rate Calculations'!$B$7</f>
        <v>4.0831050228310497</v>
      </c>
      <c r="K86" s="36">
        <f t="shared" si="39"/>
        <v>1.6045588828318709</v>
      </c>
      <c r="L86" s="37">
        <f>$I86*$K86/'Calculation Constants'!$B$7</f>
        <v>2555934.503625989</v>
      </c>
      <c r="M86" s="37">
        <f t="shared" si="40"/>
        <v>179.97400000000005</v>
      </c>
      <c r="N86" s="23">
        <f t="shared" si="41"/>
        <v>105.29900820457431</v>
      </c>
      <c r="O86" s="57">
        <f t="shared" si="29"/>
        <v>179.97400000000005</v>
      </c>
      <c r="P86" s="66">
        <f>MAX(I86*1000/'Calculation Constants'!$B$14,O86*10*I86*1000/2/('Calculation Constants'!$B$12*1000*'Calculation Constants'!$B$13))</f>
        <v>11.25</v>
      </c>
      <c r="Q86" s="68">
        <f t="shared" si="30"/>
        <v>992548.40161508287</v>
      </c>
      <c r="R86" s="27">
        <f>(1/(2*LOG(3.7*$I86/'Calculation Constants'!$B$2*1000)))^2</f>
        <v>8.7463077071963571E-3</v>
      </c>
      <c r="S86" s="19">
        <f t="shared" si="42"/>
        <v>1.2752477269849725</v>
      </c>
      <c r="T86" s="19">
        <f>IF($H86&gt;0,'Calculation Constants'!$B$9*Hydraulics!$K86^2/2/9.81/MAX($F$4:$F$253)*$H86,"")</f>
        <v>7.8734226558858159E-2</v>
      </c>
      <c r="U86" s="19">
        <f t="shared" si="43"/>
        <v>1.3539819535438307</v>
      </c>
      <c r="V86" s="19">
        <f t="shared" si="31"/>
        <v>0</v>
      </c>
      <c r="W86" s="19">
        <f t="shared" si="32"/>
        <v>105.29900820457431</v>
      </c>
      <c r="X86" s="23">
        <f t="shared" si="44"/>
        <v>1036.9950082045743</v>
      </c>
      <c r="Y86" s="22">
        <f>(1/(2*LOG(3.7*$I86/'Calculation Constants'!$B$3*1000)))^2</f>
        <v>9.8211436332891755E-3</v>
      </c>
      <c r="Z86" s="19">
        <f t="shared" si="33"/>
        <v>1.431963236834217</v>
      </c>
      <c r="AA86" s="19">
        <f>IF($H86&gt;0,'Calculation Constants'!$B$9*Hydraulics!$K86^2/2/9.81/MAX($F$4:$F$253)*$H86,"")</f>
        <v>7.8734226558858159E-2</v>
      </c>
      <c r="AB86" s="19">
        <f t="shared" si="55"/>
        <v>1.5106974633930752</v>
      </c>
      <c r="AC86" s="19">
        <f t="shared" si="34"/>
        <v>0</v>
      </c>
      <c r="AD86" s="19">
        <f t="shared" si="45"/>
        <v>96.726657379888707</v>
      </c>
      <c r="AE86" s="23">
        <f t="shared" si="46"/>
        <v>1028.4226573798887</v>
      </c>
      <c r="AF86" s="27">
        <f>(1/(2*LOG(3.7*$I86/'Calculation Constants'!$B$4*1000)))^2</f>
        <v>1.1575055557914658E-2</v>
      </c>
      <c r="AG86" s="19">
        <f t="shared" si="35"/>
        <v>1.6876908272744866</v>
      </c>
      <c r="AH86" s="19">
        <f>IF($H86&gt;0,'Calculation Constants'!$B$9*Hydraulics!$K86^2/2/9.81/MAX($F$4:$F$253)*$H86,"")</f>
        <v>7.8734226558858159E-2</v>
      </c>
      <c r="AI86" s="19">
        <f t="shared" si="47"/>
        <v>1.7664250538333448</v>
      </c>
      <c r="AJ86" s="19">
        <f t="shared" si="36"/>
        <v>0</v>
      </c>
      <c r="AK86" s="19">
        <f t="shared" si="48"/>
        <v>82.751680534142224</v>
      </c>
      <c r="AL86" s="23">
        <f t="shared" si="49"/>
        <v>1014.4476805341423</v>
      </c>
      <c r="AM86" s="22">
        <f>(1/(2*LOG(3.7*($I86-0.008)/'Calculation Constants'!$B$5*1000)))^2</f>
        <v>1.4709705891825043E-2</v>
      </c>
      <c r="AN86" s="19">
        <f t="shared" si="50"/>
        <v>2.1543104841910781</v>
      </c>
      <c r="AO86" s="19">
        <f>IF($H86&gt;0,'Calculation Constants'!$B$9*Hydraulics!$K86^2/2/9.81/MAX($F$4:$F$253)*$H86,"")</f>
        <v>7.8734226558858159E-2</v>
      </c>
      <c r="AP86" s="19">
        <f t="shared" si="51"/>
        <v>2.2330447107499363</v>
      </c>
      <c r="AQ86" s="19">
        <f t="shared" si="37"/>
        <v>0</v>
      </c>
      <c r="AR86" s="19">
        <f t="shared" si="52"/>
        <v>57.320258478881669</v>
      </c>
      <c r="AS86" s="23">
        <f t="shared" si="53"/>
        <v>989.0162584788817</v>
      </c>
    </row>
    <row r="87" spans="5:45">
      <c r="E87" s="35" t="str">
        <f t="shared" si="3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1.8</v>
      </c>
      <c r="J87" s="36">
        <f>'Flow Rate Calculations'!$B$7</f>
        <v>4.0831050228310497</v>
      </c>
      <c r="K87" s="36">
        <f t="shared" si="39"/>
        <v>1.6045588828318709</v>
      </c>
      <c r="L87" s="37">
        <f>$I87*$K87/'Calculation Constants'!$B$7</f>
        <v>2555934.503625989</v>
      </c>
      <c r="M87" s="37">
        <f t="shared" si="40"/>
        <v>180.67100000000005</v>
      </c>
      <c r="N87" s="23">
        <f t="shared" si="41"/>
        <v>104.64202625103053</v>
      </c>
      <c r="O87" s="57">
        <f t="shared" si="29"/>
        <v>180.67100000000005</v>
      </c>
      <c r="P87" s="66">
        <f>MAX(I87*1000/'Calculation Constants'!$B$14,O87*10*I87*1000/2/('Calculation Constants'!$B$12*1000*'Calculation Constants'!$B$13))</f>
        <v>11.25</v>
      </c>
      <c r="Q87" s="68">
        <f t="shared" si="30"/>
        <v>992548.40161508287</v>
      </c>
      <c r="R87" s="27">
        <f>(1/(2*LOG(3.7*$I87/'Calculation Constants'!$B$2*1000)))^2</f>
        <v>8.7463077071963571E-3</v>
      </c>
      <c r="S87" s="19">
        <f t="shared" si="42"/>
        <v>1.2752477269849725</v>
      </c>
      <c r="T87" s="19">
        <f>IF($H87&gt;0,'Calculation Constants'!$B$9*Hydraulics!$K87^2/2/9.81/MAX($F$4:$F$253)*$H87,"")</f>
        <v>7.8734226558858159E-2</v>
      </c>
      <c r="U87" s="19">
        <f t="shared" si="43"/>
        <v>1.3539819535438307</v>
      </c>
      <c r="V87" s="19">
        <f t="shared" si="31"/>
        <v>0</v>
      </c>
      <c r="W87" s="19">
        <f t="shared" si="32"/>
        <v>104.64202625103053</v>
      </c>
      <c r="X87" s="23">
        <f t="shared" si="44"/>
        <v>1035.6410262510306</v>
      </c>
      <c r="Y87" s="22">
        <f>(1/(2*LOG(3.7*$I87/'Calculation Constants'!$B$3*1000)))^2</f>
        <v>9.8211436332891755E-3</v>
      </c>
      <c r="Z87" s="19">
        <f t="shared" si="33"/>
        <v>1.431963236834217</v>
      </c>
      <c r="AA87" s="19">
        <f>IF($H87&gt;0,'Calculation Constants'!$B$9*Hydraulics!$K87^2/2/9.81/MAX($F$4:$F$253)*$H87,"")</f>
        <v>7.8734226558858159E-2</v>
      </c>
      <c r="AB87" s="19">
        <f t="shared" si="55"/>
        <v>1.5106974633930752</v>
      </c>
      <c r="AC87" s="19">
        <f t="shared" si="34"/>
        <v>0</v>
      </c>
      <c r="AD87" s="19">
        <f t="shared" si="45"/>
        <v>95.912959916495538</v>
      </c>
      <c r="AE87" s="23">
        <f t="shared" si="46"/>
        <v>1026.9119599164956</v>
      </c>
      <c r="AF87" s="27">
        <f>(1/(2*LOG(3.7*$I87/'Calculation Constants'!$B$4*1000)))^2</f>
        <v>1.1575055557914658E-2</v>
      </c>
      <c r="AG87" s="19">
        <f t="shared" si="35"/>
        <v>1.6876908272744866</v>
      </c>
      <c r="AH87" s="19">
        <f>IF($H87&gt;0,'Calculation Constants'!$B$9*Hydraulics!$K87^2/2/9.81/MAX($F$4:$F$253)*$H87,"")</f>
        <v>7.8734226558858159E-2</v>
      </c>
      <c r="AI87" s="19">
        <f t="shared" si="47"/>
        <v>1.7664250538333448</v>
      </c>
      <c r="AJ87" s="19">
        <f t="shared" si="36"/>
        <v>0</v>
      </c>
      <c r="AK87" s="19">
        <f t="shared" si="48"/>
        <v>81.682255480308868</v>
      </c>
      <c r="AL87" s="23">
        <f t="shared" si="49"/>
        <v>1012.6812554803089</v>
      </c>
      <c r="AM87" s="22">
        <f>(1/(2*LOG(3.7*($I87-0.008)/'Calculation Constants'!$B$5*1000)))^2</f>
        <v>1.4709705891825043E-2</v>
      </c>
      <c r="AN87" s="19">
        <f t="shared" si="50"/>
        <v>2.1543104841910781</v>
      </c>
      <c r="AO87" s="19">
        <f>IF($H87&gt;0,'Calculation Constants'!$B$9*Hydraulics!$K87^2/2/9.81/MAX($F$4:$F$253)*$H87,"")</f>
        <v>7.8734226558858159E-2</v>
      </c>
      <c r="AP87" s="19">
        <f t="shared" si="51"/>
        <v>2.2330447107499363</v>
      </c>
      <c r="AQ87" s="19">
        <f t="shared" si="37"/>
        <v>0</v>
      </c>
      <c r="AR87" s="19">
        <f t="shared" si="52"/>
        <v>55.784213768131735</v>
      </c>
      <c r="AS87" s="23">
        <f t="shared" si="53"/>
        <v>986.78321376813176</v>
      </c>
    </row>
    <row r="88" spans="5:45">
      <c r="E88" s="35" t="str">
        <f t="shared" si="3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1.8</v>
      </c>
      <c r="J88" s="36">
        <f>'Flow Rate Calculations'!$B$7</f>
        <v>4.0831050228310497</v>
      </c>
      <c r="K88" s="36">
        <f t="shared" si="39"/>
        <v>1.6045588828318709</v>
      </c>
      <c r="L88" s="37">
        <f>$I88*$K88/'Calculation Constants'!$B$7</f>
        <v>2555934.503625989</v>
      </c>
      <c r="M88" s="37">
        <f t="shared" si="40"/>
        <v>180.78500000000008</v>
      </c>
      <c r="N88" s="23">
        <f t="shared" si="41"/>
        <v>103.40204429748678</v>
      </c>
      <c r="O88" s="57">
        <f t="shared" si="29"/>
        <v>180.78500000000008</v>
      </c>
      <c r="P88" s="66">
        <f>MAX(I88*1000/'Calculation Constants'!$B$14,O88*10*I88*1000/2/('Calculation Constants'!$B$12*1000*'Calculation Constants'!$B$13))</f>
        <v>11.25</v>
      </c>
      <c r="Q88" s="68">
        <f t="shared" si="30"/>
        <v>992548.40161508287</v>
      </c>
      <c r="R88" s="27">
        <f>(1/(2*LOG(3.7*$I88/'Calculation Constants'!$B$2*1000)))^2</f>
        <v>8.7463077071963571E-3</v>
      </c>
      <c r="S88" s="19">
        <f t="shared" si="42"/>
        <v>1.2752477269849725</v>
      </c>
      <c r="T88" s="19">
        <f>IF($H88&gt;0,'Calculation Constants'!$B$9*Hydraulics!$K88^2/2/9.81/MAX($F$4:$F$253)*$H88,"")</f>
        <v>7.8734226558858159E-2</v>
      </c>
      <c r="U88" s="19">
        <f t="shared" si="43"/>
        <v>1.3539819535438307</v>
      </c>
      <c r="V88" s="19">
        <f t="shared" si="31"/>
        <v>0</v>
      </c>
      <c r="W88" s="19">
        <f t="shared" si="32"/>
        <v>103.40204429748678</v>
      </c>
      <c r="X88" s="23">
        <f t="shared" si="44"/>
        <v>1034.2870442974868</v>
      </c>
      <c r="Y88" s="22">
        <f>(1/(2*LOG(3.7*$I88/'Calculation Constants'!$B$3*1000)))^2</f>
        <v>9.8211436332891755E-3</v>
      </c>
      <c r="Z88" s="19">
        <f t="shared" si="33"/>
        <v>1.431963236834217</v>
      </c>
      <c r="AA88" s="19">
        <f>IF($H88&gt;0,'Calculation Constants'!$B$9*Hydraulics!$K88^2/2/9.81/MAX($F$4:$F$253)*$H88,"")</f>
        <v>7.8734226558858159E-2</v>
      </c>
      <c r="AB88" s="19">
        <f t="shared" si="55"/>
        <v>1.5106974633930752</v>
      </c>
      <c r="AC88" s="19">
        <f t="shared" si="34"/>
        <v>0</v>
      </c>
      <c r="AD88" s="19">
        <f t="shared" si="45"/>
        <v>94.516262453102399</v>
      </c>
      <c r="AE88" s="23">
        <f t="shared" si="46"/>
        <v>1025.4012624531024</v>
      </c>
      <c r="AF88" s="27">
        <f>(1/(2*LOG(3.7*$I88/'Calculation Constants'!$B$4*1000)))^2</f>
        <v>1.1575055557914658E-2</v>
      </c>
      <c r="AG88" s="19">
        <f t="shared" si="35"/>
        <v>1.6876908272744866</v>
      </c>
      <c r="AH88" s="19">
        <f>IF($H88&gt;0,'Calculation Constants'!$B$9*Hydraulics!$K88^2/2/9.81/MAX($F$4:$F$253)*$H88,"")</f>
        <v>7.8734226558858159E-2</v>
      </c>
      <c r="AI88" s="19">
        <f t="shared" si="47"/>
        <v>1.7664250538333448</v>
      </c>
      <c r="AJ88" s="19">
        <f t="shared" si="36"/>
        <v>0</v>
      </c>
      <c r="AK88" s="19">
        <f t="shared" si="48"/>
        <v>80.029830426475542</v>
      </c>
      <c r="AL88" s="23">
        <f t="shared" si="49"/>
        <v>1010.9148304264755</v>
      </c>
      <c r="AM88" s="22">
        <f>(1/(2*LOG(3.7*($I88-0.008)/'Calculation Constants'!$B$5*1000)))^2</f>
        <v>1.4709705891825043E-2</v>
      </c>
      <c r="AN88" s="19">
        <f t="shared" si="50"/>
        <v>2.1543104841910781</v>
      </c>
      <c r="AO88" s="19">
        <f>IF($H88&gt;0,'Calculation Constants'!$B$9*Hydraulics!$K88^2/2/9.81/MAX($F$4:$F$253)*$H88,"")</f>
        <v>7.8734226558858159E-2</v>
      </c>
      <c r="AP88" s="19">
        <f t="shared" si="51"/>
        <v>2.2330447107499363</v>
      </c>
      <c r="AQ88" s="19">
        <f t="shared" si="37"/>
        <v>0</v>
      </c>
      <c r="AR88" s="19">
        <f t="shared" si="52"/>
        <v>53.665169057381831</v>
      </c>
      <c r="AS88" s="23">
        <f t="shared" si="53"/>
        <v>984.55016905738182</v>
      </c>
    </row>
    <row r="89" spans="5:45">
      <c r="E89" s="35" t="str">
        <f t="shared" si="3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1.8</v>
      </c>
      <c r="J89" s="36">
        <f>'Flow Rate Calculations'!$B$7</f>
        <v>4.0831050228310497</v>
      </c>
      <c r="K89" s="36">
        <f t="shared" si="39"/>
        <v>1.6045588828318709</v>
      </c>
      <c r="L89" s="37">
        <f>$I89*$K89/'Calculation Constants'!$B$7</f>
        <v>2555934.503625989</v>
      </c>
      <c r="M89" s="37">
        <f t="shared" si="40"/>
        <v>181.29200000000003</v>
      </c>
      <c r="N89" s="23">
        <f t="shared" si="41"/>
        <v>102.55506234394295</v>
      </c>
      <c r="O89" s="57">
        <f t="shared" si="29"/>
        <v>181.29200000000003</v>
      </c>
      <c r="P89" s="66">
        <f>MAX(I89*1000/'Calculation Constants'!$B$14,O89*10*I89*1000/2/('Calculation Constants'!$B$12*1000*'Calculation Constants'!$B$13))</f>
        <v>11.25</v>
      </c>
      <c r="Q89" s="68">
        <f t="shared" si="30"/>
        <v>992548.40161508287</v>
      </c>
      <c r="R89" s="27">
        <f>(1/(2*LOG(3.7*$I89/'Calculation Constants'!$B$2*1000)))^2</f>
        <v>8.7463077071963571E-3</v>
      </c>
      <c r="S89" s="19">
        <f t="shared" si="42"/>
        <v>1.2752477269849725</v>
      </c>
      <c r="T89" s="19">
        <f>IF($H89&gt;0,'Calculation Constants'!$B$9*Hydraulics!$K89^2/2/9.81/MAX($F$4:$F$253)*$H89,"")</f>
        <v>7.8734226558858159E-2</v>
      </c>
      <c r="U89" s="19">
        <f t="shared" si="43"/>
        <v>1.3539819535438307</v>
      </c>
      <c r="V89" s="19">
        <f t="shared" si="31"/>
        <v>0</v>
      </c>
      <c r="W89" s="19">
        <f t="shared" si="32"/>
        <v>102.55506234394295</v>
      </c>
      <c r="X89" s="23">
        <f t="shared" si="44"/>
        <v>1032.933062343943</v>
      </c>
      <c r="Y89" s="22">
        <f>(1/(2*LOG(3.7*$I89/'Calculation Constants'!$B$3*1000)))^2</f>
        <v>9.8211436332891755E-3</v>
      </c>
      <c r="Z89" s="19">
        <f t="shared" si="33"/>
        <v>1.431963236834217</v>
      </c>
      <c r="AA89" s="19">
        <f>IF($H89&gt;0,'Calculation Constants'!$B$9*Hydraulics!$K89^2/2/9.81/MAX($F$4:$F$253)*$H89,"")</f>
        <v>7.8734226558858159E-2</v>
      </c>
      <c r="AB89" s="19">
        <f t="shared" si="55"/>
        <v>1.5106974633930752</v>
      </c>
      <c r="AC89" s="19">
        <f t="shared" si="34"/>
        <v>0</v>
      </c>
      <c r="AD89" s="19">
        <f t="shared" si="45"/>
        <v>93.51256498970929</v>
      </c>
      <c r="AE89" s="23">
        <f t="shared" si="46"/>
        <v>1023.8905649897093</v>
      </c>
      <c r="AF89" s="27">
        <f>(1/(2*LOG(3.7*$I89/'Calculation Constants'!$B$4*1000)))^2</f>
        <v>1.1575055557914658E-2</v>
      </c>
      <c r="AG89" s="19">
        <f t="shared" si="35"/>
        <v>1.6876908272744866</v>
      </c>
      <c r="AH89" s="19">
        <f>IF($H89&gt;0,'Calculation Constants'!$B$9*Hydraulics!$K89^2/2/9.81/MAX($F$4:$F$253)*$H89,"")</f>
        <v>7.8734226558858159E-2</v>
      </c>
      <c r="AI89" s="19">
        <f t="shared" si="47"/>
        <v>1.7664250538333448</v>
      </c>
      <c r="AJ89" s="19">
        <f t="shared" si="36"/>
        <v>0</v>
      </c>
      <c r="AK89" s="19">
        <f t="shared" si="48"/>
        <v>78.770405372642131</v>
      </c>
      <c r="AL89" s="23">
        <f t="shared" si="49"/>
        <v>1009.1484053726422</v>
      </c>
      <c r="AM89" s="22">
        <f>(1/(2*LOG(3.7*($I89-0.008)/'Calculation Constants'!$B$5*1000)))^2</f>
        <v>1.4709705891825043E-2</v>
      </c>
      <c r="AN89" s="19">
        <f t="shared" si="50"/>
        <v>2.1543104841910781</v>
      </c>
      <c r="AO89" s="19">
        <f>IF($H89&gt;0,'Calculation Constants'!$B$9*Hydraulics!$K89^2/2/9.81/MAX($F$4:$F$253)*$H89,"")</f>
        <v>7.8734226558858159E-2</v>
      </c>
      <c r="AP89" s="19">
        <f t="shared" si="51"/>
        <v>2.2330447107499363</v>
      </c>
      <c r="AQ89" s="19">
        <f t="shared" si="37"/>
        <v>0</v>
      </c>
      <c r="AR89" s="19">
        <f t="shared" si="52"/>
        <v>51.939124346631843</v>
      </c>
      <c r="AS89" s="23">
        <f t="shared" si="53"/>
        <v>982.31712434663189</v>
      </c>
    </row>
    <row r="90" spans="5:45">
      <c r="E90" s="35" t="str">
        <f t="shared" si="3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1.8</v>
      </c>
      <c r="J90" s="36">
        <f>'Flow Rate Calculations'!$B$7</f>
        <v>4.0831050228310497</v>
      </c>
      <c r="K90" s="36">
        <f t="shared" si="39"/>
        <v>1.6045588828318709</v>
      </c>
      <c r="L90" s="37">
        <f>$I90*$K90/'Calculation Constants'!$B$7</f>
        <v>2555934.503625989</v>
      </c>
      <c r="M90" s="37">
        <f t="shared" si="40"/>
        <v>180.34600000000012</v>
      </c>
      <c r="N90" s="23">
        <f t="shared" si="41"/>
        <v>100.25508039039926</v>
      </c>
      <c r="O90" s="57">
        <f t="shared" si="29"/>
        <v>180.34600000000012</v>
      </c>
      <c r="P90" s="66">
        <f>MAX(I90*1000/'Calculation Constants'!$B$14,O90*10*I90*1000/2/('Calculation Constants'!$B$12*1000*'Calculation Constants'!$B$13))</f>
        <v>11.25</v>
      </c>
      <c r="Q90" s="68">
        <f t="shared" si="30"/>
        <v>992548.40161508287</v>
      </c>
      <c r="R90" s="27">
        <f>(1/(2*LOG(3.7*$I90/'Calculation Constants'!$B$2*1000)))^2</f>
        <v>8.7463077071963571E-3</v>
      </c>
      <c r="S90" s="19">
        <f t="shared" si="42"/>
        <v>1.2752477269849725</v>
      </c>
      <c r="T90" s="19">
        <f>IF($H90&gt;0,'Calculation Constants'!$B$9*Hydraulics!$K90^2/2/9.81/MAX($F$4:$F$253)*$H90,"")</f>
        <v>7.8734226558858159E-2</v>
      </c>
      <c r="U90" s="19">
        <f t="shared" si="43"/>
        <v>1.3539819535438307</v>
      </c>
      <c r="V90" s="19">
        <f t="shared" si="31"/>
        <v>0</v>
      </c>
      <c r="W90" s="19">
        <f t="shared" si="32"/>
        <v>100.25508039039926</v>
      </c>
      <c r="X90" s="23">
        <f t="shared" si="44"/>
        <v>1031.5790803903992</v>
      </c>
      <c r="Y90" s="22">
        <f>(1/(2*LOG(3.7*$I90/'Calculation Constants'!$B$3*1000)))^2</f>
        <v>9.8211436332891755E-3</v>
      </c>
      <c r="Z90" s="19">
        <f t="shared" si="33"/>
        <v>1.431963236834217</v>
      </c>
      <c r="AA90" s="19">
        <f>IF($H90&gt;0,'Calculation Constants'!$B$9*Hydraulics!$K90^2/2/9.81/MAX($F$4:$F$253)*$H90,"")</f>
        <v>7.8734226558858159E-2</v>
      </c>
      <c r="AB90" s="19">
        <f t="shared" si="55"/>
        <v>1.5106974633930752</v>
      </c>
      <c r="AC90" s="19">
        <f t="shared" si="34"/>
        <v>0</v>
      </c>
      <c r="AD90" s="19">
        <f t="shared" si="45"/>
        <v>91.05586752631632</v>
      </c>
      <c r="AE90" s="23">
        <f t="shared" si="46"/>
        <v>1022.3798675263163</v>
      </c>
      <c r="AF90" s="27">
        <f>(1/(2*LOG(3.7*$I90/'Calculation Constants'!$B$4*1000)))^2</f>
        <v>1.1575055557914658E-2</v>
      </c>
      <c r="AG90" s="19">
        <f t="shared" si="35"/>
        <v>1.6876908272744866</v>
      </c>
      <c r="AH90" s="19">
        <f>IF($H90&gt;0,'Calculation Constants'!$B$9*Hydraulics!$K90^2/2/9.81/MAX($F$4:$F$253)*$H90,"")</f>
        <v>7.8734226558858159E-2</v>
      </c>
      <c r="AI90" s="19">
        <f t="shared" si="47"/>
        <v>1.7664250538333448</v>
      </c>
      <c r="AJ90" s="19">
        <f t="shared" si="36"/>
        <v>0</v>
      </c>
      <c r="AK90" s="19">
        <f t="shared" si="48"/>
        <v>76.057980318808859</v>
      </c>
      <c r="AL90" s="23">
        <f t="shared" si="49"/>
        <v>1007.3819803188088</v>
      </c>
      <c r="AM90" s="22">
        <f>(1/(2*LOG(3.7*($I90-0.008)/'Calculation Constants'!$B$5*1000)))^2</f>
        <v>1.4709705891825043E-2</v>
      </c>
      <c r="AN90" s="19">
        <f t="shared" si="50"/>
        <v>2.1543104841910781</v>
      </c>
      <c r="AO90" s="19">
        <f>IF($H90&gt;0,'Calculation Constants'!$B$9*Hydraulics!$K90^2/2/9.81/MAX($F$4:$F$253)*$H90,"")</f>
        <v>7.8734226558858159E-2</v>
      </c>
      <c r="AP90" s="19">
        <f t="shared" si="51"/>
        <v>2.2330447107499363</v>
      </c>
      <c r="AQ90" s="19">
        <f t="shared" si="37"/>
        <v>0</v>
      </c>
      <c r="AR90" s="19">
        <f t="shared" si="52"/>
        <v>48.760079635881993</v>
      </c>
      <c r="AS90" s="23">
        <f t="shared" si="53"/>
        <v>980.08407963588195</v>
      </c>
    </row>
    <row r="91" spans="5:45">
      <c r="E91" s="35" t="str">
        <f t="shared" si="3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1.8</v>
      </c>
      <c r="J91" s="36">
        <f>'Flow Rate Calculations'!$B$7</f>
        <v>4.0831050228310497</v>
      </c>
      <c r="K91" s="36">
        <f t="shared" si="39"/>
        <v>1.6045588828318709</v>
      </c>
      <c r="L91" s="37">
        <f>$I91*$K91/'Calculation Constants'!$B$7</f>
        <v>2555934.503625989</v>
      </c>
      <c r="M91" s="37">
        <f t="shared" si="40"/>
        <v>178.1400000000001</v>
      </c>
      <c r="N91" s="23">
        <f t="shared" si="41"/>
        <v>96.69509843685546</v>
      </c>
      <c r="O91" s="57">
        <f t="shared" si="29"/>
        <v>178.1400000000001</v>
      </c>
      <c r="P91" s="66">
        <f>MAX(I91*1000/'Calculation Constants'!$B$14,O91*10*I91*1000/2/('Calculation Constants'!$B$12*1000*'Calculation Constants'!$B$13))</f>
        <v>11.25</v>
      </c>
      <c r="Q91" s="68">
        <f t="shared" si="30"/>
        <v>992548.40161508287</v>
      </c>
      <c r="R91" s="27">
        <f>(1/(2*LOG(3.7*$I91/'Calculation Constants'!$B$2*1000)))^2</f>
        <v>8.7463077071963571E-3</v>
      </c>
      <c r="S91" s="19">
        <f t="shared" si="42"/>
        <v>1.2752477269849725</v>
      </c>
      <c r="T91" s="19">
        <f>IF($H91&gt;0,'Calculation Constants'!$B$9*Hydraulics!$K91^2/2/9.81/MAX($F$4:$F$253)*$H91,"")</f>
        <v>7.8734226558858159E-2</v>
      </c>
      <c r="U91" s="19">
        <f t="shared" si="43"/>
        <v>1.3539819535438307</v>
      </c>
      <c r="V91" s="19">
        <f t="shared" si="31"/>
        <v>0</v>
      </c>
      <c r="W91" s="19">
        <f t="shared" si="32"/>
        <v>96.69509843685546</v>
      </c>
      <c r="X91" s="23">
        <f t="shared" si="44"/>
        <v>1030.2250984368554</v>
      </c>
      <c r="Y91" s="22">
        <f>(1/(2*LOG(3.7*$I91/'Calculation Constants'!$B$3*1000)))^2</f>
        <v>9.8211436332891755E-3</v>
      </c>
      <c r="Z91" s="19">
        <f t="shared" si="33"/>
        <v>1.431963236834217</v>
      </c>
      <c r="AA91" s="19">
        <f>IF($H91&gt;0,'Calculation Constants'!$B$9*Hydraulics!$K91^2/2/9.81/MAX($F$4:$F$253)*$H91,"")</f>
        <v>7.8734226558858159E-2</v>
      </c>
      <c r="AB91" s="19">
        <f t="shared" si="55"/>
        <v>1.5106974633930752</v>
      </c>
      <c r="AC91" s="19">
        <f t="shared" si="34"/>
        <v>0</v>
      </c>
      <c r="AD91" s="19">
        <f t="shared" si="45"/>
        <v>87.339170062923245</v>
      </c>
      <c r="AE91" s="23">
        <f t="shared" si="46"/>
        <v>1020.8691700629232</v>
      </c>
      <c r="AF91" s="27">
        <f>(1/(2*LOG(3.7*$I91/'Calculation Constants'!$B$4*1000)))^2</f>
        <v>1.1575055557914658E-2</v>
      </c>
      <c r="AG91" s="19">
        <f t="shared" si="35"/>
        <v>1.6876908272744866</v>
      </c>
      <c r="AH91" s="19">
        <f>IF($H91&gt;0,'Calculation Constants'!$B$9*Hydraulics!$K91^2/2/9.81/MAX($F$4:$F$253)*$H91,"")</f>
        <v>7.8734226558858159E-2</v>
      </c>
      <c r="AI91" s="19">
        <f t="shared" si="47"/>
        <v>1.7664250538333448</v>
      </c>
      <c r="AJ91" s="19">
        <f t="shared" si="36"/>
        <v>0</v>
      </c>
      <c r="AK91" s="19">
        <f t="shared" si="48"/>
        <v>72.085555264975483</v>
      </c>
      <c r="AL91" s="23">
        <f t="shared" si="49"/>
        <v>1005.6155552649755</v>
      </c>
      <c r="AM91" s="22">
        <f>(1/(2*LOG(3.7*($I91-0.008)/'Calculation Constants'!$B$5*1000)))^2</f>
        <v>1.4709705891825043E-2</v>
      </c>
      <c r="AN91" s="19">
        <f t="shared" si="50"/>
        <v>2.1543104841910781</v>
      </c>
      <c r="AO91" s="19">
        <f>IF($H91&gt;0,'Calculation Constants'!$B$9*Hydraulics!$K91^2/2/9.81/MAX($F$4:$F$253)*$H91,"")</f>
        <v>7.8734226558858159E-2</v>
      </c>
      <c r="AP91" s="19">
        <f t="shared" si="51"/>
        <v>2.2330447107499363</v>
      </c>
      <c r="AQ91" s="19">
        <f t="shared" si="37"/>
        <v>0</v>
      </c>
      <c r="AR91" s="19">
        <f t="shared" si="52"/>
        <v>44.321034925132039</v>
      </c>
      <c r="AS91" s="23">
        <f t="shared" si="53"/>
        <v>977.85103492513201</v>
      </c>
    </row>
    <row r="92" spans="5:45">
      <c r="E92" s="35" t="str">
        <f t="shared" si="3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1.8</v>
      </c>
      <c r="J92" s="36">
        <f>'Flow Rate Calculations'!$B$7</f>
        <v>4.0831050228310497</v>
      </c>
      <c r="K92" s="36">
        <f t="shared" si="39"/>
        <v>1.6045588828318709</v>
      </c>
      <c r="L92" s="37">
        <f>$I92*$K92/'Calculation Constants'!$B$7</f>
        <v>2555934.503625989</v>
      </c>
      <c r="M92" s="37">
        <f t="shared" si="40"/>
        <v>178.95600000000002</v>
      </c>
      <c r="N92" s="23">
        <f t="shared" si="41"/>
        <v>96.157116483311597</v>
      </c>
      <c r="O92" s="57">
        <f t="shared" si="29"/>
        <v>178.95600000000002</v>
      </c>
      <c r="P92" s="66">
        <f>MAX(I92*1000/'Calculation Constants'!$B$14,O92*10*I92*1000/2/('Calculation Constants'!$B$12*1000*'Calculation Constants'!$B$13))</f>
        <v>11.25</v>
      </c>
      <c r="Q92" s="68">
        <f t="shared" si="30"/>
        <v>992548.40161508287</v>
      </c>
      <c r="R92" s="27">
        <f>(1/(2*LOG(3.7*$I92/'Calculation Constants'!$B$2*1000)))^2</f>
        <v>8.7463077071963571E-3</v>
      </c>
      <c r="S92" s="19">
        <f t="shared" si="42"/>
        <v>1.2752477269849725</v>
      </c>
      <c r="T92" s="19">
        <f>IF($H92&gt;0,'Calculation Constants'!$B$9*Hydraulics!$K92^2/2/9.81/MAX($F$4:$F$253)*$H92,"")</f>
        <v>7.8734226558858159E-2</v>
      </c>
      <c r="U92" s="19">
        <f t="shared" si="43"/>
        <v>1.3539819535438307</v>
      </c>
      <c r="V92" s="19">
        <f t="shared" si="31"/>
        <v>0</v>
      </c>
      <c r="W92" s="19">
        <f t="shared" si="32"/>
        <v>96.157116483311597</v>
      </c>
      <c r="X92" s="23">
        <f t="shared" si="44"/>
        <v>1028.8711164833117</v>
      </c>
      <c r="Y92" s="22">
        <f>(1/(2*LOG(3.7*$I92/'Calculation Constants'!$B$3*1000)))^2</f>
        <v>9.8211436332891755E-3</v>
      </c>
      <c r="Z92" s="19">
        <f t="shared" si="33"/>
        <v>1.431963236834217</v>
      </c>
      <c r="AA92" s="19">
        <f>IF($H92&gt;0,'Calculation Constants'!$B$9*Hydraulics!$K92^2/2/9.81/MAX($F$4:$F$253)*$H92,"")</f>
        <v>7.8734226558858159E-2</v>
      </c>
      <c r="AB92" s="19">
        <f t="shared" si="55"/>
        <v>1.5106974633930752</v>
      </c>
      <c r="AC92" s="19">
        <f t="shared" si="34"/>
        <v>0</v>
      </c>
      <c r="AD92" s="19">
        <f t="shared" si="45"/>
        <v>86.644472599530104</v>
      </c>
      <c r="AE92" s="23">
        <f t="shared" si="46"/>
        <v>1019.3584725995302</v>
      </c>
      <c r="AF92" s="27">
        <f>(1/(2*LOG(3.7*$I92/'Calculation Constants'!$B$4*1000)))^2</f>
        <v>1.1575055557914658E-2</v>
      </c>
      <c r="AG92" s="19">
        <f t="shared" si="35"/>
        <v>1.6876908272744866</v>
      </c>
      <c r="AH92" s="19">
        <f>IF($H92&gt;0,'Calculation Constants'!$B$9*Hydraulics!$K92^2/2/9.81/MAX($F$4:$F$253)*$H92,"")</f>
        <v>7.8734226558858159E-2</v>
      </c>
      <c r="AI92" s="19">
        <f t="shared" si="47"/>
        <v>1.7664250538333448</v>
      </c>
      <c r="AJ92" s="19">
        <f t="shared" si="36"/>
        <v>0</v>
      </c>
      <c r="AK92" s="19">
        <f t="shared" si="48"/>
        <v>71.135130211142041</v>
      </c>
      <c r="AL92" s="23">
        <f t="shared" si="49"/>
        <v>1003.8491302111421</v>
      </c>
      <c r="AM92" s="22">
        <f>(1/(2*LOG(3.7*($I92-0.008)/'Calculation Constants'!$B$5*1000)))^2</f>
        <v>1.4709705891825043E-2</v>
      </c>
      <c r="AN92" s="19">
        <f t="shared" si="50"/>
        <v>2.1543104841910781</v>
      </c>
      <c r="AO92" s="19">
        <f>IF($H92&gt;0,'Calculation Constants'!$B$9*Hydraulics!$K92^2/2/9.81/MAX($F$4:$F$253)*$H92,"")</f>
        <v>7.8734226558858159E-2</v>
      </c>
      <c r="AP92" s="19">
        <f t="shared" si="51"/>
        <v>2.2330447107499363</v>
      </c>
      <c r="AQ92" s="19">
        <f t="shared" si="37"/>
        <v>0</v>
      </c>
      <c r="AR92" s="19">
        <f t="shared" si="52"/>
        <v>42.90399021438202</v>
      </c>
      <c r="AS92" s="23">
        <f t="shared" si="53"/>
        <v>975.61799021438208</v>
      </c>
    </row>
    <row r="93" spans="5:45">
      <c r="E93" s="35" t="str">
        <f t="shared" si="3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1.8</v>
      </c>
      <c r="J93" s="36">
        <f>'Flow Rate Calculations'!$B$7</f>
        <v>4.0831050228310497</v>
      </c>
      <c r="K93" s="36">
        <f t="shared" si="39"/>
        <v>1.6045588828318709</v>
      </c>
      <c r="L93" s="37">
        <f>$I93*$K93/'Calculation Constants'!$B$7</f>
        <v>2555934.503625989</v>
      </c>
      <c r="M93" s="37">
        <f t="shared" si="40"/>
        <v>183.35900000000004</v>
      </c>
      <c r="N93" s="23">
        <f t="shared" si="41"/>
        <v>99.206134529767837</v>
      </c>
      <c r="O93" s="57">
        <f t="shared" si="29"/>
        <v>183.35900000000004</v>
      </c>
      <c r="P93" s="66">
        <f>MAX(I93*1000/'Calculation Constants'!$B$14,O93*10*I93*1000/2/('Calculation Constants'!$B$12*1000*'Calculation Constants'!$B$13))</f>
        <v>11.25</v>
      </c>
      <c r="Q93" s="68">
        <f t="shared" si="30"/>
        <v>992548.40161508287</v>
      </c>
      <c r="R93" s="27">
        <f>(1/(2*LOG(3.7*$I93/'Calculation Constants'!$B$2*1000)))^2</f>
        <v>8.7463077071963571E-3</v>
      </c>
      <c r="S93" s="19">
        <f t="shared" si="42"/>
        <v>1.2752477269849725</v>
      </c>
      <c r="T93" s="19">
        <f>IF($H93&gt;0,'Calculation Constants'!$B$9*Hydraulics!$K93^2/2/9.81/MAX($F$4:$F$253)*$H93,"")</f>
        <v>7.8734226558858159E-2</v>
      </c>
      <c r="U93" s="19">
        <f t="shared" si="43"/>
        <v>1.3539819535438307</v>
      </c>
      <c r="V93" s="19">
        <f t="shared" si="31"/>
        <v>0</v>
      </c>
      <c r="W93" s="19">
        <f t="shared" si="32"/>
        <v>99.206134529767837</v>
      </c>
      <c r="X93" s="23">
        <f t="shared" si="44"/>
        <v>1027.5171345297679</v>
      </c>
      <c r="Y93" s="22">
        <f>(1/(2*LOG(3.7*$I93/'Calculation Constants'!$B$3*1000)))^2</f>
        <v>9.8211436332891755E-3</v>
      </c>
      <c r="Z93" s="19">
        <f t="shared" si="33"/>
        <v>1.431963236834217</v>
      </c>
      <c r="AA93" s="19">
        <f>IF($H93&gt;0,'Calculation Constants'!$B$9*Hydraulics!$K93^2/2/9.81/MAX($F$4:$F$253)*$H93,"")</f>
        <v>7.8734226558858159E-2</v>
      </c>
      <c r="AB93" s="19">
        <f t="shared" si="55"/>
        <v>1.5106974633930752</v>
      </c>
      <c r="AC93" s="19">
        <f t="shared" si="34"/>
        <v>0</v>
      </c>
      <c r="AD93" s="19">
        <f t="shared" si="45"/>
        <v>89.536775136137067</v>
      </c>
      <c r="AE93" s="23">
        <f t="shared" si="46"/>
        <v>1017.8477751361371</v>
      </c>
      <c r="AF93" s="27">
        <f>(1/(2*LOG(3.7*$I93/'Calculation Constants'!$B$4*1000)))^2</f>
        <v>1.1575055557914658E-2</v>
      </c>
      <c r="AG93" s="19">
        <f t="shared" si="35"/>
        <v>1.6876908272744866</v>
      </c>
      <c r="AH93" s="19">
        <f>IF($H93&gt;0,'Calculation Constants'!$B$9*Hydraulics!$K93^2/2/9.81/MAX($F$4:$F$253)*$H93,"")</f>
        <v>7.8734226558858159E-2</v>
      </c>
      <c r="AI93" s="19">
        <f t="shared" si="47"/>
        <v>1.7664250538333448</v>
      </c>
      <c r="AJ93" s="19">
        <f t="shared" si="36"/>
        <v>0</v>
      </c>
      <c r="AK93" s="19">
        <f t="shared" si="48"/>
        <v>73.771705157308702</v>
      </c>
      <c r="AL93" s="23">
        <f t="shared" si="49"/>
        <v>1002.0827051573087</v>
      </c>
      <c r="AM93" s="22">
        <f>(1/(2*LOG(3.7*($I93-0.008)/'Calculation Constants'!$B$5*1000)))^2</f>
        <v>1.4709705891825043E-2</v>
      </c>
      <c r="AN93" s="19">
        <f t="shared" si="50"/>
        <v>2.1543104841910781</v>
      </c>
      <c r="AO93" s="19">
        <f>IF($H93&gt;0,'Calculation Constants'!$B$9*Hydraulics!$K93^2/2/9.81/MAX($F$4:$F$253)*$H93,"")</f>
        <v>7.8734226558858159E-2</v>
      </c>
      <c r="AP93" s="19">
        <f t="shared" si="51"/>
        <v>2.2330447107499363</v>
      </c>
      <c r="AQ93" s="19">
        <f t="shared" si="37"/>
        <v>0</v>
      </c>
      <c r="AR93" s="19">
        <f t="shared" si="52"/>
        <v>45.073945503632103</v>
      </c>
      <c r="AS93" s="23">
        <f t="shared" si="53"/>
        <v>973.38494550363214</v>
      </c>
    </row>
    <row r="94" spans="5:45">
      <c r="E94" s="35" t="str">
        <f t="shared" si="3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1.8</v>
      </c>
      <c r="J94" s="36">
        <f>'Flow Rate Calculations'!$B$7</f>
        <v>4.0831050228310497</v>
      </c>
      <c r="K94" s="36">
        <f t="shared" si="39"/>
        <v>1.6045588828318709</v>
      </c>
      <c r="L94" s="37">
        <f>$I94*$K94/'Calculation Constants'!$B$7</f>
        <v>2555934.503625989</v>
      </c>
      <c r="M94" s="37">
        <f t="shared" si="40"/>
        <v>187.4910000000001</v>
      </c>
      <c r="N94" s="23">
        <f t="shared" si="41"/>
        <v>101.98415257622412</v>
      </c>
      <c r="O94" s="57">
        <f t="shared" si="29"/>
        <v>187.4910000000001</v>
      </c>
      <c r="P94" s="66">
        <f>MAX(I94*1000/'Calculation Constants'!$B$14,O94*10*I94*1000/2/('Calculation Constants'!$B$12*1000*'Calculation Constants'!$B$13))</f>
        <v>11.25</v>
      </c>
      <c r="Q94" s="68">
        <f t="shared" si="30"/>
        <v>992548.40161508287</v>
      </c>
      <c r="R94" s="27">
        <f>(1/(2*LOG(3.7*$I94/'Calculation Constants'!$B$2*1000)))^2</f>
        <v>8.7463077071963571E-3</v>
      </c>
      <c r="S94" s="19">
        <f t="shared" si="42"/>
        <v>1.2752477269849725</v>
      </c>
      <c r="T94" s="19">
        <f>IF($H94&gt;0,'Calculation Constants'!$B$9*Hydraulics!$K94^2/2/9.81/MAX($F$4:$F$253)*$H94,"")</f>
        <v>7.8734226558858159E-2</v>
      </c>
      <c r="U94" s="19">
        <f t="shared" si="43"/>
        <v>1.3539819535438307</v>
      </c>
      <c r="V94" s="19">
        <f t="shared" si="31"/>
        <v>0</v>
      </c>
      <c r="W94" s="19">
        <f t="shared" si="32"/>
        <v>101.98415257622412</v>
      </c>
      <c r="X94" s="23">
        <f t="shared" si="44"/>
        <v>1026.1631525762241</v>
      </c>
      <c r="Y94" s="22">
        <f>(1/(2*LOG(3.7*$I94/'Calculation Constants'!$B$3*1000)))^2</f>
        <v>9.8211436332891755E-3</v>
      </c>
      <c r="Z94" s="19">
        <f t="shared" si="33"/>
        <v>1.431963236834217</v>
      </c>
      <c r="AA94" s="19">
        <f>IF($H94&gt;0,'Calculation Constants'!$B$9*Hydraulics!$K94^2/2/9.81/MAX($F$4:$F$253)*$H94,"")</f>
        <v>7.8734226558858159E-2</v>
      </c>
      <c r="AB94" s="19">
        <f t="shared" si="55"/>
        <v>1.5106974633930752</v>
      </c>
      <c r="AC94" s="19">
        <f t="shared" si="34"/>
        <v>0</v>
      </c>
      <c r="AD94" s="19">
        <f t="shared" si="45"/>
        <v>92.158077672744071</v>
      </c>
      <c r="AE94" s="23">
        <f t="shared" si="46"/>
        <v>1016.337077672744</v>
      </c>
      <c r="AF94" s="27">
        <f>(1/(2*LOG(3.7*$I94/'Calculation Constants'!$B$4*1000)))^2</f>
        <v>1.1575055557914658E-2</v>
      </c>
      <c r="AG94" s="19">
        <f t="shared" si="35"/>
        <v>1.6876908272744866</v>
      </c>
      <c r="AH94" s="19">
        <f>IF($H94&gt;0,'Calculation Constants'!$B$9*Hydraulics!$K94^2/2/9.81/MAX($F$4:$F$253)*$H94,"")</f>
        <v>7.8734226558858159E-2</v>
      </c>
      <c r="AI94" s="19">
        <f t="shared" si="47"/>
        <v>1.7664250538333448</v>
      </c>
      <c r="AJ94" s="19">
        <f t="shared" si="36"/>
        <v>0</v>
      </c>
      <c r="AK94" s="19">
        <f t="shared" si="48"/>
        <v>76.137280103475405</v>
      </c>
      <c r="AL94" s="23">
        <f t="shared" si="49"/>
        <v>1000.3162801034754</v>
      </c>
      <c r="AM94" s="22">
        <f>(1/(2*LOG(3.7*($I94-0.008)/'Calculation Constants'!$B$5*1000)))^2</f>
        <v>1.4709705891825043E-2</v>
      </c>
      <c r="AN94" s="19">
        <f t="shared" si="50"/>
        <v>2.1543104841910781</v>
      </c>
      <c r="AO94" s="19">
        <f>IF($H94&gt;0,'Calculation Constants'!$B$9*Hydraulics!$K94^2/2/9.81/MAX($F$4:$F$253)*$H94,"")</f>
        <v>7.8734226558858159E-2</v>
      </c>
      <c r="AP94" s="19">
        <f t="shared" si="51"/>
        <v>2.2330447107499363</v>
      </c>
      <c r="AQ94" s="19">
        <f t="shared" si="37"/>
        <v>0</v>
      </c>
      <c r="AR94" s="19">
        <f t="shared" si="52"/>
        <v>46.972900792882228</v>
      </c>
      <c r="AS94" s="23">
        <f t="shared" si="53"/>
        <v>971.1519007928822</v>
      </c>
    </row>
    <row r="95" spans="5:45">
      <c r="E95" s="35" t="str">
        <f t="shared" si="3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1.8</v>
      </c>
      <c r="J95" s="36">
        <f>'Flow Rate Calculations'!$B$7</f>
        <v>4.0831050228310497</v>
      </c>
      <c r="K95" s="36">
        <f t="shared" si="39"/>
        <v>1.6045588828318709</v>
      </c>
      <c r="L95" s="37">
        <f>$I95*$K95/'Calculation Constants'!$B$7</f>
        <v>2555934.503625989</v>
      </c>
      <c r="M95" s="37">
        <f t="shared" si="40"/>
        <v>183.27200000000005</v>
      </c>
      <c r="N95" s="23">
        <f t="shared" si="41"/>
        <v>96.411170622680288</v>
      </c>
      <c r="O95" s="57">
        <f t="shared" si="29"/>
        <v>183.27200000000005</v>
      </c>
      <c r="P95" s="66">
        <f>MAX(I95*1000/'Calculation Constants'!$B$14,O95*10*I95*1000/2/('Calculation Constants'!$B$12*1000*'Calculation Constants'!$B$13))</f>
        <v>11.25</v>
      </c>
      <c r="Q95" s="68">
        <f t="shared" si="30"/>
        <v>992548.40161508287</v>
      </c>
      <c r="R95" s="27">
        <f>(1/(2*LOG(3.7*$I95/'Calculation Constants'!$B$2*1000)))^2</f>
        <v>8.7463077071963571E-3</v>
      </c>
      <c r="S95" s="19">
        <f t="shared" si="42"/>
        <v>1.2752477269849725</v>
      </c>
      <c r="T95" s="19">
        <f>IF($H95&gt;0,'Calculation Constants'!$B$9*Hydraulics!$K95^2/2/9.81/MAX($F$4:$F$253)*$H95,"")</f>
        <v>7.8734226558858159E-2</v>
      </c>
      <c r="U95" s="19">
        <f t="shared" si="43"/>
        <v>1.3539819535438307</v>
      </c>
      <c r="V95" s="19">
        <f t="shared" si="31"/>
        <v>0</v>
      </c>
      <c r="W95" s="19">
        <f t="shared" si="32"/>
        <v>96.411170622680288</v>
      </c>
      <c r="X95" s="23">
        <f t="shared" si="44"/>
        <v>1024.8091706226803</v>
      </c>
      <c r="Y95" s="22">
        <f>(1/(2*LOG(3.7*$I95/'Calculation Constants'!$B$3*1000)))^2</f>
        <v>9.8211436332891755E-3</v>
      </c>
      <c r="Z95" s="19">
        <f t="shared" si="33"/>
        <v>1.431963236834217</v>
      </c>
      <c r="AA95" s="19">
        <f>IF($H95&gt;0,'Calculation Constants'!$B$9*Hydraulics!$K95^2/2/9.81/MAX($F$4:$F$253)*$H95,"")</f>
        <v>7.8734226558858159E-2</v>
      </c>
      <c r="AB95" s="19">
        <f t="shared" si="55"/>
        <v>1.5106974633930752</v>
      </c>
      <c r="AC95" s="19">
        <f t="shared" si="34"/>
        <v>0</v>
      </c>
      <c r="AD95" s="19">
        <f t="shared" si="45"/>
        <v>86.428380209350962</v>
      </c>
      <c r="AE95" s="23">
        <f t="shared" si="46"/>
        <v>1014.826380209351</v>
      </c>
      <c r="AF95" s="27">
        <f>(1/(2*LOG(3.7*$I95/'Calculation Constants'!$B$4*1000)))^2</f>
        <v>1.1575055557914658E-2</v>
      </c>
      <c r="AG95" s="19">
        <f t="shared" si="35"/>
        <v>1.6876908272744866</v>
      </c>
      <c r="AH95" s="19">
        <f>IF($H95&gt;0,'Calculation Constants'!$B$9*Hydraulics!$K95^2/2/9.81/MAX($F$4:$F$253)*$H95,"")</f>
        <v>7.8734226558858159E-2</v>
      </c>
      <c r="AI95" s="19">
        <f t="shared" si="47"/>
        <v>1.7664250538333448</v>
      </c>
      <c r="AJ95" s="19">
        <f t="shared" si="36"/>
        <v>0</v>
      </c>
      <c r="AK95" s="19">
        <f t="shared" si="48"/>
        <v>70.151855049641995</v>
      </c>
      <c r="AL95" s="23">
        <f t="shared" si="49"/>
        <v>998.54985504964202</v>
      </c>
      <c r="AM95" s="22">
        <f>(1/(2*LOG(3.7*($I95-0.008)/'Calculation Constants'!$B$5*1000)))^2</f>
        <v>1.4709705891825043E-2</v>
      </c>
      <c r="AN95" s="19">
        <f t="shared" si="50"/>
        <v>2.1543104841910781</v>
      </c>
      <c r="AO95" s="19">
        <f>IF($H95&gt;0,'Calculation Constants'!$B$9*Hydraulics!$K95^2/2/9.81/MAX($F$4:$F$253)*$H95,"")</f>
        <v>7.8734226558858159E-2</v>
      </c>
      <c r="AP95" s="19">
        <f t="shared" si="51"/>
        <v>2.2330447107499363</v>
      </c>
      <c r="AQ95" s="19">
        <f t="shared" si="37"/>
        <v>0</v>
      </c>
      <c r="AR95" s="19">
        <f t="shared" si="52"/>
        <v>40.520856082132241</v>
      </c>
      <c r="AS95" s="23">
        <f t="shared" si="53"/>
        <v>968.91885608213227</v>
      </c>
    </row>
    <row r="96" spans="5:45">
      <c r="E96" s="35" t="str">
        <f t="shared" si="3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1.8</v>
      </c>
      <c r="J96" s="36">
        <f>'Flow Rate Calculations'!$B$7</f>
        <v>4.0831050228310497</v>
      </c>
      <c r="K96" s="36">
        <f t="shared" si="39"/>
        <v>1.6045588828318709</v>
      </c>
      <c r="L96" s="37">
        <f>$I96*$K96/'Calculation Constants'!$B$7</f>
        <v>2555934.503625989</v>
      </c>
      <c r="M96" s="37">
        <f t="shared" si="40"/>
        <v>180.80400000000009</v>
      </c>
      <c r="N96" s="23">
        <f t="shared" si="41"/>
        <v>92.589188669136547</v>
      </c>
      <c r="O96" s="57">
        <f t="shared" si="29"/>
        <v>180.80400000000009</v>
      </c>
      <c r="P96" s="66">
        <f>MAX(I96*1000/'Calculation Constants'!$B$14,O96*10*I96*1000/2/('Calculation Constants'!$B$12*1000*'Calculation Constants'!$B$13))</f>
        <v>11.25</v>
      </c>
      <c r="Q96" s="68">
        <f t="shared" si="30"/>
        <v>992548.40161508287</v>
      </c>
      <c r="R96" s="27">
        <f>(1/(2*LOG(3.7*$I96/'Calculation Constants'!$B$2*1000)))^2</f>
        <v>8.7463077071963571E-3</v>
      </c>
      <c r="S96" s="19">
        <f t="shared" si="42"/>
        <v>1.2752477269849725</v>
      </c>
      <c r="T96" s="19">
        <f>IF($H96&gt;0,'Calculation Constants'!$B$9*Hydraulics!$K96^2/2/9.81/MAX($F$4:$F$253)*$H96,"")</f>
        <v>7.8734226558858159E-2</v>
      </c>
      <c r="U96" s="19">
        <f t="shared" si="43"/>
        <v>1.3539819535438307</v>
      </c>
      <c r="V96" s="19">
        <f t="shared" si="31"/>
        <v>0</v>
      </c>
      <c r="W96" s="19">
        <f t="shared" si="32"/>
        <v>92.589188669136547</v>
      </c>
      <c r="X96" s="23">
        <f t="shared" si="44"/>
        <v>1023.4551886691365</v>
      </c>
      <c r="Y96" s="22">
        <f>(1/(2*LOG(3.7*$I96/'Calculation Constants'!$B$3*1000)))^2</f>
        <v>9.8211436332891755E-3</v>
      </c>
      <c r="Z96" s="19">
        <f t="shared" si="33"/>
        <v>1.431963236834217</v>
      </c>
      <c r="AA96" s="19">
        <f>IF($H96&gt;0,'Calculation Constants'!$B$9*Hydraulics!$K96^2/2/9.81/MAX($F$4:$F$253)*$H96,"")</f>
        <v>7.8734226558858159E-2</v>
      </c>
      <c r="AB96" s="19">
        <f t="shared" si="55"/>
        <v>1.5106974633930752</v>
      </c>
      <c r="AC96" s="19">
        <f t="shared" si="34"/>
        <v>0</v>
      </c>
      <c r="AD96" s="19">
        <f t="shared" si="45"/>
        <v>82.449682745957944</v>
      </c>
      <c r="AE96" s="23">
        <f t="shared" si="46"/>
        <v>1013.3156827459579</v>
      </c>
      <c r="AF96" s="27">
        <f>(1/(2*LOG(3.7*$I96/'Calculation Constants'!$B$4*1000)))^2</f>
        <v>1.1575055557914658E-2</v>
      </c>
      <c r="AG96" s="19">
        <f t="shared" si="35"/>
        <v>1.6876908272744866</v>
      </c>
      <c r="AH96" s="19">
        <f>IF($H96&gt;0,'Calculation Constants'!$B$9*Hydraulics!$K96^2/2/9.81/MAX($F$4:$F$253)*$H96,"")</f>
        <v>7.8734226558858159E-2</v>
      </c>
      <c r="AI96" s="19">
        <f t="shared" si="47"/>
        <v>1.7664250538333448</v>
      </c>
      <c r="AJ96" s="19">
        <f t="shared" si="36"/>
        <v>0</v>
      </c>
      <c r="AK96" s="19">
        <f t="shared" si="48"/>
        <v>65.917429995808675</v>
      </c>
      <c r="AL96" s="23">
        <f t="shared" si="49"/>
        <v>996.78342999580866</v>
      </c>
      <c r="AM96" s="22">
        <f>(1/(2*LOG(3.7*($I96-0.008)/'Calculation Constants'!$B$5*1000)))^2</f>
        <v>1.4709705891825043E-2</v>
      </c>
      <c r="AN96" s="19">
        <f t="shared" si="50"/>
        <v>2.1543104841910781</v>
      </c>
      <c r="AO96" s="19">
        <f>IF($H96&gt;0,'Calculation Constants'!$B$9*Hydraulics!$K96^2/2/9.81/MAX($F$4:$F$253)*$H96,"")</f>
        <v>7.8734226558858159E-2</v>
      </c>
      <c r="AP96" s="19">
        <f t="shared" si="51"/>
        <v>2.2330447107499363</v>
      </c>
      <c r="AQ96" s="19">
        <f t="shared" si="37"/>
        <v>0</v>
      </c>
      <c r="AR96" s="19">
        <f t="shared" si="52"/>
        <v>35.819811371382343</v>
      </c>
      <c r="AS96" s="23">
        <f t="shared" si="53"/>
        <v>966.68581137138233</v>
      </c>
    </row>
    <row r="97" spans="5:45">
      <c r="E97" s="35" t="str">
        <f t="shared" si="3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1.8</v>
      </c>
      <c r="J97" s="36">
        <f>'Flow Rate Calculations'!$B$7</f>
        <v>4.0831050228310497</v>
      </c>
      <c r="K97" s="36">
        <f t="shared" si="39"/>
        <v>1.6045588828318709</v>
      </c>
      <c r="L97" s="37">
        <f>$I97*$K97/'Calculation Constants'!$B$7</f>
        <v>2555934.503625989</v>
      </c>
      <c r="M97" s="37">
        <f t="shared" si="40"/>
        <v>183.25900000000013</v>
      </c>
      <c r="N97" s="23">
        <f t="shared" si="41"/>
        <v>93.690206715592808</v>
      </c>
      <c r="O97" s="57">
        <f t="shared" si="29"/>
        <v>183.25900000000013</v>
      </c>
      <c r="P97" s="66">
        <f>MAX(I97*1000/'Calculation Constants'!$B$14,O97*10*I97*1000/2/('Calculation Constants'!$B$12*1000*'Calculation Constants'!$B$13))</f>
        <v>11.25</v>
      </c>
      <c r="Q97" s="68">
        <f t="shared" si="30"/>
        <v>992548.40161508287</v>
      </c>
      <c r="R97" s="27">
        <f>(1/(2*LOG(3.7*$I97/'Calculation Constants'!$B$2*1000)))^2</f>
        <v>8.7463077071963571E-3</v>
      </c>
      <c r="S97" s="19">
        <f t="shared" si="42"/>
        <v>1.2752477269849725</v>
      </c>
      <c r="T97" s="19">
        <f>IF($H97&gt;0,'Calculation Constants'!$B$9*Hydraulics!$K97^2/2/9.81/MAX($F$4:$F$253)*$H97,"")</f>
        <v>7.8734226558858159E-2</v>
      </c>
      <c r="U97" s="19">
        <f t="shared" si="43"/>
        <v>1.3539819535438307</v>
      </c>
      <c r="V97" s="19">
        <f t="shared" si="31"/>
        <v>0</v>
      </c>
      <c r="W97" s="19">
        <f t="shared" si="32"/>
        <v>93.690206715592808</v>
      </c>
      <c r="X97" s="23">
        <f t="shared" si="44"/>
        <v>1022.1012067155928</v>
      </c>
      <c r="Y97" s="22">
        <f>(1/(2*LOG(3.7*$I97/'Calculation Constants'!$B$3*1000)))^2</f>
        <v>9.8211436332891755E-3</v>
      </c>
      <c r="Z97" s="19">
        <f t="shared" si="33"/>
        <v>1.431963236834217</v>
      </c>
      <c r="AA97" s="19">
        <f>IF($H97&gt;0,'Calculation Constants'!$B$9*Hydraulics!$K97^2/2/9.81/MAX($F$4:$F$253)*$H97,"")</f>
        <v>7.8734226558858159E-2</v>
      </c>
      <c r="AB97" s="19">
        <f t="shared" si="55"/>
        <v>1.5106974633930752</v>
      </c>
      <c r="AC97" s="19">
        <f t="shared" si="34"/>
        <v>0</v>
      </c>
      <c r="AD97" s="19">
        <f t="shared" si="45"/>
        <v>83.393985282564927</v>
      </c>
      <c r="AE97" s="23">
        <f t="shared" si="46"/>
        <v>1011.8049852825649</v>
      </c>
      <c r="AF97" s="27">
        <f>(1/(2*LOG(3.7*$I97/'Calculation Constants'!$B$4*1000)))^2</f>
        <v>1.1575055557914658E-2</v>
      </c>
      <c r="AG97" s="19">
        <f t="shared" si="35"/>
        <v>1.6876908272744866</v>
      </c>
      <c r="AH97" s="19">
        <f>IF($H97&gt;0,'Calculation Constants'!$B$9*Hydraulics!$K97^2/2/9.81/MAX($F$4:$F$253)*$H97,"")</f>
        <v>7.8734226558858159E-2</v>
      </c>
      <c r="AI97" s="19">
        <f t="shared" si="47"/>
        <v>1.7664250538333448</v>
      </c>
      <c r="AJ97" s="19">
        <f t="shared" si="36"/>
        <v>0</v>
      </c>
      <c r="AK97" s="19">
        <f t="shared" si="48"/>
        <v>66.606004941975357</v>
      </c>
      <c r="AL97" s="23">
        <f t="shared" si="49"/>
        <v>995.0170049419753</v>
      </c>
      <c r="AM97" s="22">
        <f>(1/(2*LOG(3.7*($I97-0.008)/'Calculation Constants'!$B$5*1000)))^2</f>
        <v>1.4709705891825043E-2</v>
      </c>
      <c r="AN97" s="19">
        <f t="shared" si="50"/>
        <v>2.1543104841910781</v>
      </c>
      <c r="AO97" s="19">
        <f>IF($H97&gt;0,'Calculation Constants'!$B$9*Hydraulics!$K97^2/2/9.81/MAX($F$4:$F$253)*$H97,"")</f>
        <v>7.8734226558858159E-2</v>
      </c>
      <c r="AP97" s="19">
        <f t="shared" si="51"/>
        <v>2.2330447107499363</v>
      </c>
      <c r="AQ97" s="19">
        <f t="shared" si="37"/>
        <v>0</v>
      </c>
      <c r="AR97" s="19">
        <f t="shared" si="52"/>
        <v>36.041766660632447</v>
      </c>
      <c r="AS97" s="23">
        <f t="shared" si="53"/>
        <v>964.45276666063239</v>
      </c>
    </row>
    <row r="98" spans="5:45">
      <c r="E98" s="35" t="str">
        <f t="shared" si="3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1.8</v>
      </c>
      <c r="J98" s="36">
        <f>'Flow Rate Calculations'!$B$7</f>
        <v>4.0831050228310497</v>
      </c>
      <c r="K98" s="36">
        <f t="shared" si="39"/>
        <v>1.6045588828318709</v>
      </c>
      <c r="L98" s="37">
        <f>$I98*$K98/'Calculation Constants'!$B$7</f>
        <v>2555934.503625989</v>
      </c>
      <c r="M98" s="37">
        <f t="shared" si="40"/>
        <v>183.82100000000003</v>
      </c>
      <c r="N98" s="23">
        <f t="shared" si="41"/>
        <v>92.898224762048926</v>
      </c>
      <c r="O98" s="57">
        <f t="shared" si="29"/>
        <v>183.82100000000003</v>
      </c>
      <c r="P98" s="66">
        <f>MAX(I98*1000/'Calculation Constants'!$B$14,O98*10*I98*1000/2/('Calculation Constants'!$B$12*1000*'Calculation Constants'!$B$13))</f>
        <v>11.25</v>
      </c>
      <c r="Q98" s="68">
        <f t="shared" si="30"/>
        <v>992548.40161508287</v>
      </c>
      <c r="R98" s="27">
        <f>(1/(2*LOG(3.7*$I98/'Calculation Constants'!$B$2*1000)))^2</f>
        <v>8.7463077071963571E-3</v>
      </c>
      <c r="S98" s="19">
        <f t="shared" si="42"/>
        <v>1.2752477269849725</v>
      </c>
      <c r="T98" s="19">
        <f>IF($H98&gt;0,'Calculation Constants'!$B$9*Hydraulics!$K98^2/2/9.81/MAX($F$4:$F$253)*$H98,"")</f>
        <v>7.8734226558858159E-2</v>
      </c>
      <c r="U98" s="19">
        <f t="shared" si="43"/>
        <v>1.3539819535438307</v>
      </c>
      <c r="V98" s="19">
        <f t="shared" si="31"/>
        <v>0</v>
      </c>
      <c r="W98" s="19">
        <f t="shared" si="32"/>
        <v>92.898224762048926</v>
      </c>
      <c r="X98" s="23">
        <f t="shared" si="44"/>
        <v>1020.747224762049</v>
      </c>
      <c r="Y98" s="22">
        <f>(1/(2*LOG(3.7*$I98/'Calculation Constants'!$B$3*1000)))^2</f>
        <v>9.8211436332891755E-3</v>
      </c>
      <c r="Z98" s="19">
        <f t="shared" si="33"/>
        <v>1.431963236834217</v>
      </c>
      <c r="AA98" s="19">
        <f>IF($H98&gt;0,'Calculation Constants'!$B$9*Hydraulics!$K98^2/2/9.81/MAX($F$4:$F$253)*$H98,"")</f>
        <v>7.8734226558858159E-2</v>
      </c>
      <c r="AB98" s="19">
        <f t="shared" si="55"/>
        <v>1.5106974633930752</v>
      </c>
      <c r="AC98" s="19">
        <f t="shared" si="34"/>
        <v>0</v>
      </c>
      <c r="AD98" s="19">
        <f t="shared" si="45"/>
        <v>82.445287819171767</v>
      </c>
      <c r="AE98" s="23">
        <f t="shared" si="46"/>
        <v>1010.2942878191718</v>
      </c>
      <c r="AF98" s="27">
        <f>(1/(2*LOG(3.7*$I98/'Calculation Constants'!$B$4*1000)))^2</f>
        <v>1.1575055557914658E-2</v>
      </c>
      <c r="AG98" s="19">
        <f t="shared" si="35"/>
        <v>1.6876908272744866</v>
      </c>
      <c r="AH98" s="19">
        <f>IF($H98&gt;0,'Calculation Constants'!$B$9*Hydraulics!$K98^2/2/9.81/MAX($F$4:$F$253)*$H98,"")</f>
        <v>7.8734226558858159E-2</v>
      </c>
      <c r="AI98" s="19">
        <f t="shared" si="47"/>
        <v>1.7664250538333448</v>
      </c>
      <c r="AJ98" s="19">
        <f t="shared" si="36"/>
        <v>0</v>
      </c>
      <c r="AK98" s="19">
        <f t="shared" si="48"/>
        <v>65.401579888141896</v>
      </c>
      <c r="AL98" s="23">
        <f t="shared" si="49"/>
        <v>993.25057988814194</v>
      </c>
      <c r="AM98" s="22">
        <f>(1/(2*LOG(3.7*($I98-0.008)/'Calculation Constants'!$B$5*1000)))^2</f>
        <v>1.4709705891825043E-2</v>
      </c>
      <c r="AN98" s="19">
        <f t="shared" si="50"/>
        <v>2.1543104841910781</v>
      </c>
      <c r="AO98" s="19">
        <f>IF($H98&gt;0,'Calculation Constants'!$B$9*Hydraulics!$K98^2/2/9.81/MAX($F$4:$F$253)*$H98,"")</f>
        <v>7.8734226558858159E-2</v>
      </c>
      <c r="AP98" s="19">
        <f t="shared" si="51"/>
        <v>2.2330447107499363</v>
      </c>
      <c r="AQ98" s="19">
        <f t="shared" si="37"/>
        <v>0</v>
      </c>
      <c r="AR98" s="19">
        <f t="shared" si="52"/>
        <v>34.370721949882409</v>
      </c>
      <c r="AS98" s="23">
        <f t="shared" si="53"/>
        <v>962.21972194988246</v>
      </c>
    </row>
    <row r="99" spans="5:45">
      <c r="E99" s="35" t="str">
        <f t="shared" si="3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1.8</v>
      </c>
      <c r="J99" s="36">
        <f>'Flow Rate Calculations'!$B$7</f>
        <v>4.0831050228310497</v>
      </c>
      <c r="K99" s="36">
        <f t="shared" si="39"/>
        <v>1.6045588828318709</v>
      </c>
      <c r="L99" s="37">
        <f>$I99*$K99/'Calculation Constants'!$B$7</f>
        <v>2555934.503625989</v>
      </c>
      <c r="M99" s="37">
        <f t="shared" si="40"/>
        <v>184.96000000000004</v>
      </c>
      <c r="N99" s="23">
        <f t="shared" si="41"/>
        <v>92.683242808505156</v>
      </c>
      <c r="O99" s="57">
        <f t="shared" si="29"/>
        <v>184.96000000000004</v>
      </c>
      <c r="P99" s="66">
        <f>MAX(I99*1000/'Calculation Constants'!$B$14,O99*10*I99*1000/2/('Calculation Constants'!$B$12*1000*'Calculation Constants'!$B$13))</f>
        <v>11.25</v>
      </c>
      <c r="Q99" s="68">
        <f t="shared" si="30"/>
        <v>992548.40161508287</v>
      </c>
      <c r="R99" s="27">
        <f>(1/(2*LOG(3.7*$I99/'Calculation Constants'!$B$2*1000)))^2</f>
        <v>8.7463077071963571E-3</v>
      </c>
      <c r="S99" s="19">
        <f t="shared" si="42"/>
        <v>1.2752477269849725</v>
      </c>
      <c r="T99" s="19">
        <f>IF($H99&gt;0,'Calculation Constants'!$B$9*Hydraulics!$K99^2/2/9.81/MAX($F$4:$F$253)*$H99,"")</f>
        <v>7.8734226558858159E-2</v>
      </c>
      <c r="U99" s="19">
        <f t="shared" si="43"/>
        <v>1.3539819535438307</v>
      </c>
      <c r="V99" s="19">
        <f t="shared" si="31"/>
        <v>0</v>
      </c>
      <c r="W99" s="19">
        <f t="shared" si="32"/>
        <v>92.683242808505156</v>
      </c>
      <c r="X99" s="23">
        <f t="shared" si="44"/>
        <v>1019.3932428085052</v>
      </c>
      <c r="Y99" s="22">
        <f>(1/(2*LOG(3.7*$I99/'Calculation Constants'!$B$3*1000)))^2</f>
        <v>9.8211436332891755E-3</v>
      </c>
      <c r="Z99" s="19">
        <f t="shared" si="33"/>
        <v>1.431963236834217</v>
      </c>
      <c r="AA99" s="19">
        <f>IF($H99&gt;0,'Calculation Constants'!$B$9*Hydraulics!$K99^2/2/9.81/MAX($F$4:$F$253)*$H99,"")</f>
        <v>7.8734226558858159E-2</v>
      </c>
      <c r="AB99" s="19">
        <f t="shared" si="55"/>
        <v>1.5106974633930752</v>
      </c>
      <c r="AC99" s="19">
        <f t="shared" si="34"/>
        <v>0</v>
      </c>
      <c r="AD99" s="19">
        <f t="shared" si="45"/>
        <v>82.07359035577872</v>
      </c>
      <c r="AE99" s="23">
        <f t="shared" si="46"/>
        <v>1008.7835903557788</v>
      </c>
      <c r="AF99" s="27">
        <f>(1/(2*LOG(3.7*$I99/'Calculation Constants'!$B$4*1000)))^2</f>
        <v>1.1575055557914658E-2</v>
      </c>
      <c r="AG99" s="19">
        <f t="shared" si="35"/>
        <v>1.6876908272744866</v>
      </c>
      <c r="AH99" s="19">
        <f>IF($H99&gt;0,'Calculation Constants'!$B$9*Hydraulics!$K99^2/2/9.81/MAX($F$4:$F$253)*$H99,"")</f>
        <v>7.8734226558858159E-2</v>
      </c>
      <c r="AI99" s="19">
        <f t="shared" si="47"/>
        <v>1.7664250538333448</v>
      </c>
      <c r="AJ99" s="19">
        <f t="shared" si="36"/>
        <v>0</v>
      </c>
      <c r="AK99" s="19">
        <f t="shared" si="48"/>
        <v>64.774154834308547</v>
      </c>
      <c r="AL99" s="23">
        <f t="shared" si="49"/>
        <v>991.48415483430858</v>
      </c>
      <c r="AM99" s="22">
        <f>(1/(2*LOG(3.7*($I99-0.008)/'Calculation Constants'!$B$5*1000)))^2</f>
        <v>1.4709705891825043E-2</v>
      </c>
      <c r="AN99" s="19">
        <f t="shared" si="50"/>
        <v>2.1543104841910781</v>
      </c>
      <c r="AO99" s="19">
        <f>IF($H99&gt;0,'Calculation Constants'!$B$9*Hydraulics!$K99^2/2/9.81/MAX($F$4:$F$253)*$H99,"")</f>
        <v>7.8734226558858159E-2</v>
      </c>
      <c r="AP99" s="19">
        <f t="shared" si="51"/>
        <v>2.2330447107499363</v>
      </c>
      <c r="AQ99" s="19">
        <f t="shared" si="37"/>
        <v>0</v>
      </c>
      <c r="AR99" s="19">
        <f t="shared" si="52"/>
        <v>33.276677239132482</v>
      </c>
      <c r="AS99" s="23">
        <f t="shared" si="53"/>
        <v>959.98667723913252</v>
      </c>
    </row>
    <row r="100" spans="5:45">
      <c r="E100" s="35" t="str">
        <f t="shared" si="3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1.8</v>
      </c>
      <c r="J100" s="36">
        <f>'Flow Rate Calculations'!$B$7</f>
        <v>4.0831050228310497</v>
      </c>
      <c r="K100" s="36">
        <f t="shared" si="39"/>
        <v>1.6045588828318709</v>
      </c>
      <c r="L100" s="37">
        <f>$I100*$K100/'Calculation Constants'!$B$7</f>
        <v>2555934.503625989</v>
      </c>
      <c r="M100" s="37">
        <f t="shared" si="40"/>
        <v>185.46900000000005</v>
      </c>
      <c r="N100" s="23">
        <f t="shared" si="41"/>
        <v>91.838260854961391</v>
      </c>
      <c r="O100" s="57">
        <f t="shared" si="29"/>
        <v>185.46900000000005</v>
      </c>
      <c r="P100" s="66">
        <f>MAX(I100*1000/'Calculation Constants'!$B$14,O100*10*I100*1000/2/('Calculation Constants'!$B$12*1000*'Calculation Constants'!$B$13))</f>
        <v>11.25</v>
      </c>
      <c r="Q100" s="68">
        <f t="shared" si="30"/>
        <v>992548.40161508287</v>
      </c>
      <c r="R100" s="27">
        <f>(1/(2*LOG(3.7*$I100/'Calculation Constants'!$B$2*1000)))^2</f>
        <v>8.7463077071963571E-3</v>
      </c>
      <c r="S100" s="19">
        <f t="shared" si="42"/>
        <v>1.2752477269849725</v>
      </c>
      <c r="T100" s="19">
        <f>IF($H100&gt;0,'Calculation Constants'!$B$9*Hydraulics!$K100^2/2/9.81/MAX($F$4:$F$253)*$H100,"")</f>
        <v>7.8734226558858159E-2</v>
      </c>
      <c r="U100" s="19">
        <f t="shared" si="43"/>
        <v>1.3539819535438307</v>
      </c>
      <c r="V100" s="19">
        <f t="shared" si="31"/>
        <v>0</v>
      </c>
      <c r="W100" s="19">
        <f t="shared" si="32"/>
        <v>91.838260854961391</v>
      </c>
      <c r="X100" s="23">
        <f t="shared" si="44"/>
        <v>1018.0392608549614</v>
      </c>
      <c r="Y100" s="22">
        <f>(1/(2*LOG(3.7*$I100/'Calculation Constants'!$B$3*1000)))^2</f>
        <v>9.8211436332891755E-3</v>
      </c>
      <c r="Z100" s="19">
        <f t="shared" si="33"/>
        <v>1.431963236834217</v>
      </c>
      <c r="AA100" s="19">
        <f>IF($H100&gt;0,'Calculation Constants'!$B$9*Hydraulics!$K100^2/2/9.81/MAX($F$4:$F$253)*$H100,"")</f>
        <v>7.8734226558858159E-2</v>
      </c>
      <c r="AB100" s="19">
        <f t="shared" si="55"/>
        <v>1.5106974633930752</v>
      </c>
      <c r="AC100" s="19">
        <f t="shared" si="34"/>
        <v>0</v>
      </c>
      <c r="AD100" s="19">
        <f t="shared" si="45"/>
        <v>81.071892892385677</v>
      </c>
      <c r="AE100" s="23">
        <f t="shared" si="46"/>
        <v>1007.2728928923857</v>
      </c>
      <c r="AF100" s="27">
        <f>(1/(2*LOG(3.7*$I100/'Calculation Constants'!$B$4*1000)))^2</f>
        <v>1.1575055557914658E-2</v>
      </c>
      <c r="AG100" s="19">
        <f t="shared" si="35"/>
        <v>1.6876908272744866</v>
      </c>
      <c r="AH100" s="19">
        <f>IF($H100&gt;0,'Calculation Constants'!$B$9*Hydraulics!$K100^2/2/9.81/MAX($F$4:$F$253)*$H100,"")</f>
        <v>7.8734226558858159E-2</v>
      </c>
      <c r="AI100" s="19">
        <f t="shared" si="47"/>
        <v>1.7664250538333448</v>
      </c>
      <c r="AJ100" s="19">
        <f t="shared" si="36"/>
        <v>0</v>
      </c>
      <c r="AK100" s="19">
        <f t="shared" si="48"/>
        <v>63.516729780475202</v>
      </c>
      <c r="AL100" s="23">
        <f t="shared" si="49"/>
        <v>989.71772978047522</v>
      </c>
      <c r="AM100" s="22">
        <f>(1/(2*LOG(3.7*($I100-0.008)/'Calculation Constants'!$B$5*1000)))^2</f>
        <v>1.4709705891825043E-2</v>
      </c>
      <c r="AN100" s="19">
        <f t="shared" si="50"/>
        <v>2.1543104841910781</v>
      </c>
      <c r="AO100" s="19">
        <f>IF($H100&gt;0,'Calculation Constants'!$B$9*Hydraulics!$K100^2/2/9.81/MAX($F$4:$F$253)*$H100,"")</f>
        <v>7.8734226558858159E-2</v>
      </c>
      <c r="AP100" s="19">
        <f t="shared" si="51"/>
        <v>2.2330447107499363</v>
      </c>
      <c r="AQ100" s="19">
        <f t="shared" si="37"/>
        <v>0</v>
      </c>
      <c r="AR100" s="19">
        <f t="shared" si="52"/>
        <v>31.55263252838256</v>
      </c>
      <c r="AS100" s="23">
        <f t="shared" si="53"/>
        <v>957.75363252838258</v>
      </c>
    </row>
    <row r="101" spans="5:45">
      <c r="E101" s="35" t="str">
        <f t="shared" si="3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1.8</v>
      </c>
      <c r="J101" s="36">
        <f>'Flow Rate Calculations'!$B$7</f>
        <v>4.0831050228310497</v>
      </c>
      <c r="K101" s="36">
        <f t="shared" si="39"/>
        <v>1.6045588828318709</v>
      </c>
      <c r="L101" s="37">
        <f>$I101*$K101/'Calculation Constants'!$B$7</f>
        <v>2555934.503625989</v>
      </c>
      <c r="M101" s="37">
        <f t="shared" si="40"/>
        <v>187.16100000000006</v>
      </c>
      <c r="N101" s="23">
        <f t="shared" si="41"/>
        <v>92.176278901417618</v>
      </c>
      <c r="O101" s="57">
        <f t="shared" si="29"/>
        <v>187.16100000000006</v>
      </c>
      <c r="P101" s="66">
        <f>MAX(I101*1000/'Calculation Constants'!$B$14,O101*10*I101*1000/2/('Calculation Constants'!$B$12*1000*'Calculation Constants'!$B$13))</f>
        <v>11.25</v>
      </c>
      <c r="Q101" s="68">
        <f t="shared" si="30"/>
        <v>992548.40161508287</v>
      </c>
      <c r="R101" s="27">
        <f>(1/(2*LOG(3.7*$I101/'Calculation Constants'!$B$2*1000)))^2</f>
        <v>8.7463077071963571E-3</v>
      </c>
      <c r="S101" s="19">
        <f t="shared" si="42"/>
        <v>1.2752477269849725</v>
      </c>
      <c r="T101" s="19">
        <f>IF($H101&gt;0,'Calculation Constants'!$B$9*Hydraulics!$K101^2/2/9.81/MAX($F$4:$F$253)*$H101,"")</f>
        <v>7.8734226558858159E-2</v>
      </c>
      <c r="U101" s="19">
        <f t="shared" si="43"/>
        <v>1.3539819535438307</v>
      </c>
      <c r="V101" s="19">
        <f t="shared" si="31"/>
        <v>0</v>
      </c>
      <c r="W101" s="19">
        <f t="shared" si="32"/>
        <v>92.176278901417618</v>
      </c>
      <c r="X101" s="23">
        <f t="shared" si="44"/>
        <v>1016.6852789014176</v>
      </c>
      <c r="Y101" s="22">
        <f>(1/(2*LOG(3.7*$I101/'Calculation Constants'!$B$3*1000)))^2</f>
        <v>9.8211436332891755E-3</v>
      </c>
      <c r="Z101" s="19">
        <f t="shared" si="33"/>
        <v>1.431963236834217</v>
      </c>
      <c r="AA101" s="19">
        <f>IF($H101&gt;0,'Calculation Constants'!$B$9*Hydraulics!$K101^2/2/9.81/MAX($F$4:$F$253)*$H101,"")</f>
        <v>7.8734226558858159E-2</v>
      </c>
      <c r="AB101" s="19">
        <f t="shared" si="55"/>
        <v>1.5106974633930752</v>
      </c>
      <c r="AC101" s="19">
        <f t="shared" si="34"/>
        <v>0</v>
      </c>
      <c r="AD101" s="19">
        <f t="shared" si="45"/>
        <v>81.253195428992626</v>
      </c>
      <c r="AE101" s="23">
        <f t="shared" si="46"/>
        <v>1005.7621954289926</v>
      </c>
      <c r="AF101" s="27">
        <f>(1/(2*LOG(3.7*$I101/'Calculation Constants'!$B$4*1000)))^2</f>
        <v>1.1575055557914658E-2</v>
      </c>
      <c r="AG101" s="19">
        <f t="shared" si="35"/>
        <v>1.6876908272744866</v>
      </c>
      <c r="AH101" s="19">
        <f>IF($H101&gt;0,'Calculation Constants'!$B$9*Hydraulics!$K101^2/2/9.81/MAX($F$4:$F$253)*$H101,"")</f>
        <v>7.8734226558858159E-2</v>
      </c>
      <c r="AI101" s="19">
        <f t="shared" si="47"/>
        <v>1.7664250538333448</v>
      </c>
      <c r="AJ101" s="19">
        <f t="shared" si="36"/>
        <v>0</v>
      </c>
      <c r="AK101" s="19">
        <f t="shared" si="48"/>
        <v>63.442304726641851</v>
      </c>
      <c r="AL101" s="23">
        <f t="shared" si="49"/>
        <v>987.95130472664187</v>
      </c>
      <c r="AM101" s="22">
        <f>(1/(2*LOG(3.7*($I101-0.008)/'Calculation Constants'!$B$5*1000)))^2</f>
        <v>1.4709705891825043E-2</v>
      </c>
      <c r="AN101" s="19">
        <f t="shared" si="50"/>
        <v>2.1543104841910781</v>
      </c>
      <c r="AO101" s="19">
        <f>IF($H101&gt;0,'Calculation Constants'!$B$9*Hydraulics!$K101^2/2/9.81/MAX($F$4:$F$253)*$H101,"")</f>
        <v>7.8734226558858159E-2</v>
      </c>
      <c r="AP101" s="19">
        <f t="shared" si="51"/>
        <v>2.2330447107499363</v>
      </c>
      <c r="AQ101" s="19">
        <f t="shared" si="37"/>
        <v>0</v>
      </c>
      <c r="AR101" s="19">
        <f t="shared" si="52"/>
        <v>31.011587817632631</v>
      </c>
      <c r="AS101" s="23">
        <f t="shared" si="53"/>
        <v>955.52058781763265</v>
      </c>
    </row>
    <row r="102" spans="5:45">
      <c r="E102" s="35" t="str">
        <f t="shared" si="3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1.8</v>
      </c>
      <c r="J102" s="36">
        <f>'Flow Rate Calculations'!$B$7</f>
        <v>4.0831050228310497</v>
      </c>
      <c r="K102" s="36">
        <f t="shared" si="39"/>
        <v>1.6045588828318709</v>
      </c>
      <c r="L102" s="37">
        <f>$I102*$K102/'Calculation Constants'!$B$7</f>
        <v>2555934.503625989</v>
      </c>
      <c r="M102" s="37">
        <f t="shared" si="40"/>
        <v>188.25300000000004</v>
      </c>
      <c r="N102" s="23">
        <f t="shared" si="41"/>
        <v>91.914296947873822</v>
      </c>
      <c r="O102" s="57">
        <f t="shared" si="29"/>
        <v>188.25300000000004</v>
      </c>
      <c r="P102" s="66">
        <f>MAX(I102*1000/'Calculation Constants'!$B$14,O102*10*I102*1000/2/('Calculation Constants'!$B$12*1000*'Calculation Constants'!$B$13))</f>
        <v>11.295180000000004</v>
      </c>
      <c r="Q102" s="68">
        <f t="shared" si="30"/>
        <v>996509.30566606077</v>
      </c>
      <c r="R102" s="27">
        <f>(1/(2*LOG(3.7*$I102/'Calculation Constants'!$B$2*1000)))^2</f>
        <v>8.7463077071963571E-3</v>
      </c>
      <c r="S102" s="19">
        <f t="shared" si="42"/>
        <v>1.2752477269849725</v>
      </c>
      <c r="T102" s="19">
        <f>IF($H102&gt;0,'Calculation Constants'!$B$9*Hydraulics!$K102^2/2/9.81/MAX($F$4:$F$253)*$H102,"")</f>
        <v>7.8734226558858159E-2</v>
      </c>
      <c r="U102" s="19">
        <f t="shared" si="43"/>
        <v>1.3539819535438307</v>
      </c>
      <c r="V102" s="19">
        <f t="shared" si="31"/>
        <v>0</v>
      </c>
      <c r="W102" s="19">
        <f t="shared" si="32"/>
        <v>91.914296947873822</v>
      </c>
      <c r="X102" s="23">
        <f t="shared" si="44"/>
        <v>1015.3312969478739</v>
      </c>
      <c r="Y102" s="22">
        <f>(1/(2*LOG(3.7*$I102/'Calculation Constants'!$B$3*1000)))^2</f>
        <v>9.8211436332891755E-3</v>
      </c>
      <c r="Z102" s="19">
        <f t="shared" si="33"/>
        <v>1.431963236834217</v>
      </c>
      <c r="AA102" s="19">
        <f>IF($H102&gt;0,'Calculation Constants'!$B$9*Hydraulics!$K102^2/2/9.81/MAX($F$4:$F$253)*$H102,"")</f>
        <v>7.8734226558858159E-2</v>
      </c>
      <c r="AB102" s="19">
        <f t="shared" si="55"/>
        <v>1.5106974633930752</v>
      </c>
      <c r="AC102" s="19">
        <f t="shared" si="34"/>
        <v>0</v>
      </c>
      <c r="AD102" s="19">
        <f t="shared" si="45"/>
        <v>80.834497965599553</v>
      </c>
      <c r="AE102" s="23">
        <f t="shared" si="46"/>
        <v>1004.2514979655996</v>
      </c>
      <c r="AF102" s="27">
        <f>(1/(2*LOG(3.7*$I102/'Calculation Constants'!$B$4*1000)))^2</f>
        <v>1.1575055557914658E-2</v>
      </c>
      <c r="AG102" s="19">
        <f t="shared" si="35"/>
        <v>1.6876908272744866</v>
      </c>
      <c r="AH102" s="19">
        <f>IF($H102&gt;0,'Calculation Constants'!$B$9*Hydraulics!$K102^2/2/9.81/MAX($F$4:$F$253)*$H102,"")</f>
        <v>7.8734226558858159E-2</v>
      </c>
      <c r="AI102" s="19">
        <f t="shared" si="47"/>
        <v>1.7664250538333448</v>
      </c>
      <c r="AJ102" s="19">
        <f t="shared" si="36"/>
        <v>0</v>
      </c>
      <c r="AK102" s="19">
        <f t="shared" si="48"/>
        <v>62.767879672808476</v>
      </c>
      <c r="AL102" s="23">
        <f t="shared" si="49"/>
        <v>986.18487967280851</v>
      </c>
      <c r="AM102" s="22">
        <f>(1/(2*LOG(3.7*($I102-0.008)/'Calculation Constants'!$B$5*1000)))^2</f>
        <v>1.4709705891825043E-2</v>
      </c>
      <c r="AN102" s="19">
        <f t="shared" si="50"/>
        <v>2.1543104841910781</v>
      </c>
      <c r="AO102" s="19">
        <f>IF($H102&gt;0,'Calculation Constants'!$B$9*Hydraulics!$K102^2/2/9.81/MAX($F$4:$F$253)*$H102,"")</f>
        <v>7.8734226558858159E-2</v>
      </c>
      <c r="AP102" s="19">
        <f t="shared" si="51"/>
        <v>2.2330447107499363</v>
      </c>
      <c r="AQ102" s="19">
        <f t="shared" si="37"/>
        <v>0</v>
      </c>
      <c r="AR102" s="19">
        <f t="shared" si="52"/>
        <v>29.870543106882678</v>
      </c>
      <c r="AS102" s="23">
        <f t="shared" si="53"/>
        <v>953.28754310688271</v>
      </c>
    </row>
    <row r="103" spans="5:45">
      <c r="E103" s="35" t="str">
        <f t="shared" si="3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1.8</v>
      </c>
      <c r="J103" s="36">
        <f>'Flow Rate Calculations'!$B$7</f>
        <v>4.0831050228310497</v>
      </c>
      <c r="K103" s="36">
        <f t="shared" si="39"/>
        <v>1.6045588828318709</v>
      </c>
      <c r="L103" s="37">
        <f>$I103*$K103/'Calculation Constants'!$B$7</f>
        <v>2555934.503625989</v>
      </c>
      <c r="M103" s="37">
        <f t="shared" si="40"/>
        <v>188.65900000000011</v>
      </c>
      <c r="N103" s="23">
        <f t="shared" si="41"/>
        <v>90.966314994330105</v>
      </c>
      <c r="O103" s="57">
        <f t="shared" si="29"/>
        <v>188.65900000000011</v>
      </c>
      <c r="P103" s="66">
        <f>MAX(I103*1000/'Calculation Constants'!$B$14,O103*10*I103*1000/2/('Calculation Constants'!$B$12*1000*'Calculation Constants'!$B$13))</f>
        <v>11.319540000000007</v>
      </c>
      <c r="Q103" s="68">
        <f t="shared" si="30"/>
        <v>998644.84899855172</v>
      </c>
      <c r="R103" s="27">
        <f>(1/(2*LOG(3.7*$I103/'Calculation Constants'!$B$2*1000)))^2</f>
        <v>8.7463077071963571E-3</v>
      </c>
      <c r="S103" s="19">
        <f t="shared" si="42"/>
        <v>1.2752477269849725</v>
      </c>
      <c r="T103" s="19">
        <f>IF($H103&gt;0,'Calculation Constants'!$B$9*Hydraulics!$K103^2/2/9.81/MAX($F$4:$F$253)*$H103,"")</f>
        <v>7.8734226558858159E-2</v>
      </c>
      <c r="U103" s="19">
        <f t="shared" si="43"/>
        <v>1.3539819535438307</v>
      </c>
      <c r="V103" s="19">
        <f t="shared" si="31"/>
        <v>0</v>
      </c>
      <c r="W103" s="19">
        <f t="shared" si="32"/>
        <v>90.966314994330105</v>
      </c>
      <c r="X103" s="23">
        <f t="shared" si="44"/>
        <v>1013.9773149943301</v>
      </c>
      <c r="Y103" s="22">
        <f>(1/(2*LOG(3.7*$I103/'Calculation Constants'!$B$3*1000)))^2</f>
        <v>9.8211436332891755E-3</v>
      </c>
      <c r="Z103" s="19">
        <f t="shared" si="33"/>
        <v>1.431963236834217</v>
      </c>
      <c r="AA103" s="19">
        <f>IF($H103&gt;0,'Calculation Constants'!$B$9*Hydraulics!$K103^2/2/9.81/MAX($F$4:$F$253)*$H103,"")</f>
        <v>7.8734226558858159E-2</v>
      </c>
      <c r="AB103" s="19">
        <f t="shared" si="55"/>
        <v>1.5106974633930752</v>
      </c>
      <c r="AC103" s="19">
        <f t="shared" si="34"/>
        <v>0</v>
      </c>
      <c r="AD103" s="19">
        <f t="shared" si="45"/>
        <v>79.729800502206558</v>
      </c>
      <c r="AE103" s="23">
        <f t="shared" si="46"/>
        <v>1002.7408005022065</v>
      </c>
      <c r="AF103" s="27">
        <f>(1/(2*LOG(3.7*$I103/'Calculation Constants'!$B$4*1000)))^2</f>
        <v>1.1575055557914658E-2</v>
      </c>
      <c r="AG103" s="19">
        <f t="shared" si="35"/>
        <v>1.6876908272744866</v>
      </c>
      <c r="AH103" s="19">
        <f>IF($H103&gt;0,'Calculation Constants'!$B$9*Hydraulics!$K103^2/2/9.81/MAX($F$4:$F$253)*$H103,"")</f>
        <v>7.8734226558858159E-2</v>
      </c>
      <c r="AI103" s="19">
        <f t="shared" si="47"/>
        <v>1.7664250538333448</v>
      </c>
      <c r="AJ103" s="19">
        <f t="shared" si="36"/>
        <v>0</v>
      </c>
      <c r="AK103" s="19">
        <f t="shared" si="48"/>
        <v>61.40745461897518</v>
      </c>
      <c r="AL103" s="23">
        <f t="shared" si="49"/>
        <v>984.41845461897515</v>
      </c>
      <c r="AM103" s="22">
        <f>(1/(2*LOG(3.7*($I103-0.008)/'Calculation Constants'!$B$5*1000)))^2</f>
        <v>1.4709705891825043E-2</v>
      </c>
      <c r="AN103" s="19">
        <f t="shared" si="50"/>
        <v>2.1543104841910781</v>
      </c>
      <c r="AO103" s="19">
        <f>IF($H103&gt;0,'Calculation Constants'!$B$9*Hydraulics!$K103^2/2/9.81/MAX($F$4:$F$253)*$H103,"")</f>
        <v>7.8734226558858159E-2</v>
      </c>
      <c r="AP103" s="19">
        <f t="shared" si="51"/>
        <v>2.2330447107499363</v>
      </c>
      <c r="AQ103" s="19">
        <f t="shared" si="37"/>
        <v>0</v>
      </c>
      <c r="AR103" s="19">
        <f t="shared" si="52"/>
        <v>28.043498396132804</v>
      </c>
      <c r="AS103" s="23">
        <f t="shared" si="53"/>
        <v>951.05449839613277</v>
      </c>
    </row>
    <row r="104" spans="5:45">
      <c r="E104" s="35" t="str">
        <f t="shared" si="3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1.8</v>
      </c>
      <c r="J104" s="36">
        <f>'Flow Rate Calculations'!$B$7</f>
        <v>4.0831050228310497</v>
      </c>
      <c r="K104" s="36">
        <f t="shared" si="39"/>
        <v>1.6045588828318709</v>
      </c>
      <c r="L104" s="37">
        <f>$I104*$K104/'Calculation Constants'!$B$7</f>
        <v>2555934.503625989</v>
      </c>
      <c r="M104" s="37">
        <f t="shared" si="40"/>
        <v>189.70100000000002</v>
      </c>
      <c r="N104" s="23">
        <f t="shared" si="41"/>
        <v>90.654333040786241</v>
      </c>
      <c r="O104" s="57">
        <f t="shared" si="29"/>
        <v>189.70100000000002</v>
      </c>
      <c r="P104" s="66">
        <f>MAX(I104*1000/'Calculation Constants'!$B$14,O104*10*I104*1000/2/('Calculation Constants'!$B$12*1000*'Calculation Constants'!$B$13))</f>
        <v>11.382060000000001</v>
      </c>
      <c r="Q104" s="68">
        <f t="shared" si="30"/>
        <v>1004125.4583117398</v>
      </c>
      <c r="R104" s="27">
        <f>(1/(2*LOG(3.7*$I104/'Calculation Constants'!$B$2*1000)))^2</f>
        <v>8.7463077071963571E-3</v>
      </c>
      <c r="S104" s="19">
        <f t="shared" si="42"/>
        <v>1.2752477269849725</v>
      </c>
      <c r="T104" s="19">
        <f>IF($H104&gt;0,'Calculation Constants'!$B$9*Hydraulics!$K104^2/2/9.81/MAX($F$4:$F$253)*$H104,"")</f>
        <v>7.8734226558858159E-2</v>
      </c>
      <c r="U104" s="19">
        <f t="shared" si="43"/>
        <v>1.3539819535438307</v>
      </c>
      <c r="V104" s="19">
        <f t="shared" si="31"/>
        <v>0</v>
      </c>
      <c r="W104" s="19">
        <f t="shared" si="32"/>
        <v>90.654333040786241</v>
      </c>
      <c r="X104" s="23">
        <f t="shared" si="44"/>
        <v>1012.6233330407863</v>
      </c>
      <c r="Y104" s="22">
        <f>(1/(2*LOG(3.7*$I104/'Calculation Constants'!$B$3*1000)))^2</f>
        <v>9.8211436332891755E-3</v>
      </c>
      <c r="Z104" s="19">
        <f t="shared" si="33"/>
        <v>1.431963236834217</v>
      </c>
      <c r="AA104" s="19">
        <f>IF($H104&gt;0,'Calculation Constants'!$B$9*Hydraulics!$K104^2/2/9.81/MAX($F$4:$F$253)*$H104,"")</f>
        <v>7.8734226558858159E-2</v>
      </c>
      <c r="AB104" s="19">
        <f t="shared" si="55"/>
        <v>1.5106974633930752</v>
      </c>
      <c r="AC104" s="19">
        <f t="shared" si="34"/>
        <v>0</v>
      </c>
      <c r="AD104" s="19">
        <f t="shared" si="45"/>
        <v>79.261103038813417</v>
      </c>
      <c r="AE104" s="23">
        <f t="shared" si="46"/>
        <v>1001.2301030388135</v>
      </c>
      <c r="AF104" s="27">
        <f>(1/(2*LOG(3.7*$I104/'Calculation Constants'!$B$4*1000)))^2</f>
        <v>1.1575055557914658E-2</v>
      </c>
      <c r="AG104" s="19">
        <f t="shared" si="35"/>
        <v>1.6876908272744866</v>
      </c>
      <c r="AH104" s="19">
        <f>IF($H104&gt;0,'Calculation Constants'!$B$9*Hydraulics!$K104^2/2/9.81/MAX($F$4:$F$253)*$H104,"")</f>
        <v>7.8734226558858159E-2</v>
      </c>
      <c r="AI104" s="19">
        <f t="shared" si="47"/>
        <v>1.7664250538333448</v>
      </c>
      <c r="AJ104" s="19">
        <f t="shared" si="36"/>
        <v>0</v>
      </c>
      <c r="AK104" s="19">
        <f t="shared" si="48"/>
        <v>60.683029565141737</v>
      </c>
      <c r="AL104" s="23">
        <f t="shared" si="49"/>
        <v>982.65202956514179</v>
      </c>
      <c r="AM104" s="22">
        <f>(1/(2*LOG(3.7*($I104-0.008)/'Calculation Constants'!$B$5*1000)))^2</f>
        <v>1.4709705891825043E-2</v>
      </c>
      <c r="AN104" s="19">
        <f t="shared" si="50"/>
        <v>2.1543104841910781</v>
      </c>
      <c r="AO104" s="19">
        <f>IF($H104&gt;0,'Calculation Constants'!$B$9*Hydraulics!$K104^2/2/9.81/MAX($F$4:$F$253)*$H104,"")</f>
        <v>7.8734226558858159E-2</v>
      </c>
      <c r="AP104" s="19">
        <f t="shared" si="51"/>
        <v>2.2330447107499363</v>
      </c>
      <c r="AQ104" s="19">
        <f t="shared" si="37"/>
        <v>0</v>
      </c>
      <c r="AR104" s="19">
        <f t="shared" si="52"/>
        <v>26.852453685382784</v>
      </c>
      <c r="AS104" s="23">
        <f t="shared" si="53"/>
        <v>948.82145368538283</v>
      </c>
    </row>
    <row r="105" spans="5:45">
      <c r="E105" s="35" t="str">
        <f t="shared" si="3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1.8</v>
      </c>
      <c r="J105" s="36">
        <f>'Flow Rate Calculations'!$B$7</f>
        <v>4.0831050228310497</v>
      </c>
      <c r="K105" s="36">
        <f t="shared" si="39"/>
        <v>1.6045588828318709</v>
      </c>
      <c r="L105" s="37">
        <f>$I105*$K105/'Calculation Constants'!$B$7</f>
        <v>2555934.503625989</v>
      </c>
      <c r="M105" s="37">
        <f t="shared" si="40"/>
        <v>191.00900000000013</v>
      </c>
      <c r="N105" s="23">
        <f t="shared" si="41"/>
        <v>90.608351087242568</v>
      </c>
      <c r="O105" s="57">
        <f t="shared" si="29"/>
        <v>191.00900000000013</v>
      </c>
      <c r="P105" s="66">
        <f>MAX(I105*1000/'Calculation Constants'!$B$14,O105*10*I105*1000/2/('Calculation Constants'!$B$12*1000*'Calculation Constants'!$B$13))</f>
        <v>11.460540000000007</v>
      </c>
      <c r="Q105" s="68">
        <f t="shared" si="30"/>
        <v>1011004.6025207246</v>
      </c>
      <c r="R105" s="27">
        <f>(1/(2*LOG(3.7*$I105/'Calculation Constants'!$B$2*1000)))^2</f>
        <v>8.7463077071963571E-3</v>
      </c>
      <c r="S105" s="19">
        <f t="shared" si="42"/>
        <v>1.2752477269849725</v>
      </c>
      <c r="T105" s="19">
        <f>IF($H105&gt;0,'Calculation Constants'!$B$9*Hydraulics!$K105^2/2/9.81/MAX($F$4:$F$253)*$H105,"")</f>
        <v>7.8734226558858159E-2</v>
      </c>
      <c r="U105" s="19">
        <f t="shared" si="43"/>
        <v>1.3539819535438307</v>
      </c>
      <c r="V105" s="19">
        <f t="shared" si="31"/>
        <v>0</v>
      </c>
      <c r="W105" s="19">
        <f t="shared" si="32"/>
        <v>90.608351087242568</v>
      </c>
      <c r="X105" s="23">
        <f t="shared" si="44"/>
        <v>1011.2693510872425</v>
      </c>
      <c r="Y105" s="22">
        <f>(1/(2*LOG(3.7*$I105/'Calculation Constants'!$B$3*1000)))^2</f>
        <v>9.8211436332891755E-3</v>
      </c>
      <c r="Z105" s="19">
        <f t="shared" si="33"/>
        <v>1.431963236834217</v>
      </c>
      <c r="AA105" s="19">
        <f>IF($H105&gt;0,'Calculation Constants'!$B$9*Hydraulics!$K105^2/2/9.81/MAX($F$4:$F$253)*$H105,"")</f>
        <v>7.8734226558858159E-2</v>
      </c>
      <c r="AB105" s="19">
        <f t="shared" si="55"/>
        <v>1.5106974633930752</v>
      </c>
      <c r="AC105" s="19">
        <f t="shared" si="34"/>
        <v>0</v>
      </c>
      <c r="AD105" s="19">
        <f t="shared" si="45"/>
        <v>79.058405575420466</v>
      </c>
      <c r="AE105" s="23">
        <f t="shared" si="46"/>
        <v>999.71940557542041</v>
      </c>
      <c r="AF105" s="27">
        <f>(1/(2*LOG(3.7*$I105/'Calculation Constants'!$B$4*1000)))^2</f>
        <v>1.1575055557914658E-2</v>
      </c>
      <c r="AG105" s="19">
        <f t="shared" si="35"/>
        <v>1.6876908272744866</v>
      </c>
      <c r="AH105" s="19">
        <f>IF($H105&gt;0,'Calculation Constants'!$B$9*Hydraulics!$K105^2/2/9.81/MAX($F$4:$F$253)*$H105,"")</f>
        <v>7.8734226558858159E-2</v>
      </c>
      <c r="AI105" s="19">
        <f t="shared" si="47"/>
        <v>1.7664250538333448</v>
      </c>
      <c r="AJ105" s="19">
        <f t="shared" si="36"/>
        <v>0</v>
      </c>
      <c r="AK105" s="19">
        <f t="shared" si="48"/>
        <v>60.224604511308485</v>
      </c>
      <c r="AL105" s="23">
        <f t="shared" si="49"/>
        <v>980.88560451130843</v>
      </c>
      <c r="AM105" s="22">
        <f>(1/(2*LOG(3.7*($I105-0.008)/'Calculation Constants'!$B$5*1000)))^2</f>
        <v>1.4709705891825043E-2</v>
      </c>
      <c r="AN105" s="19">
        <f t="shared" si="50"/>
        <v>2.1543104841910781</v>
      </c>
      <c r="AO105" s="19">
        <f>IF($H105&gt;0,'Calculation Constants'!$B$9*Hydraulics!$K105^2/2/9.81/MAX($F$4:$F$253)*$H105,"")</f>
        <v>7.8734226558858159E-2</v>
      </c>
      <c r="AP105" s="19">
        <f t="shared" si="51"/>
        <v>2.2330447107499363</v>
      </c>
      <c r="AQ105" s="19">
        <f t="shared" si="37"/>
        <v>0</v>
      </c>
      <c r="AR105" s="19">
        <f t="shared" si="52"/>
        <v>25.927408974632954</v>
      </c>
      <c r="AS105" s="23">
        <f t="shared" si="53"/>
        <v>946.5884089746329</v>
      </c>
    </row>
    <row r="106" spans="5:45">
      <c r="E106" s="35" t="str">
        <f t="shared" si="3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1.8</v>
      </c>
      <c r="J106" s="36">
        <f>'Flow Rate Calculations'!$B$7</f>
        <v>4.0831050228310497</v>
      </c>
      <c r="K106" s="36">
        <f t="shared" si="39"/>
        <v>1.6045588828318709</v>
      </c>
      <c r="L106" s="37">
        <f>$I106*$K106/'Calculation Constants'!$B$7</f>
        <v>2555934.503625989</v>
      </c>
      <c r="M106" s="37">
        <f t="shared" si="40"/>
        <v>191.42700000000002</v>
      </c>
      <c r="N106" s="23">
        <f t="shared" si="41"/>
        <v>89.67236913369868</v>
      </c>
      <c r="O106" s="57">
        <f t="shared" si="29"/>
        <v>191.42700000000002</v>
      </c>
      <c r="P106" s="66">
        <f>MAX(I106*1000/'Calculation Constants'!$B$14,O106*10*I106*1000/2/('Calculation Constants'!$B$12*1000*'Calculation Constants'!$B$13))</f>
        <v>11.485620000000001</v>
      </c>
      <c r="Q106" s="68">
        <f t="shared" si="30"/>
        <v>1013202.8553623573</v>
      </c>
      <c r="R106" s="27">
        <f>(1/(2*LOG(3.7*$I106/'Calculation Constants'!$B$2*1000)))^2</f>
        <v>8.7463077071963571E-3</v>
      </c>
      <c r="S106" s="19">
        <f t="shared" si="42"/>
        <v>1.2752477269849725</v>
      </c>
      <c r="T106" s="19">
        <f>IF($H106&gt;0,'Calculation Constants'!$B$9*Hydraulics!$K106^2/2/9.81/MAX($F$4:$F$253)*$H106,"")</f>
        <v>7.8734226558858159E-2</v>
      </c>
      <c r="U106" s="19">
        <f t="shared" si="43"/>
        <v>1.3539819535438307</v>
      </c>
      <c r="V106" s="19">
        <f t="shared" si="31"/>
        <v>0</v>
      </c>
      <c r="W106" s="19">
        <f t="shared" si="32"/>
        <v>89.67236913369868</v>
      </c>
      <c r="X106" s="23">
        <f t="shared" si="44"/>
        <v>1009.9153691336987</v>
      </c>
      <c r="Y106" s="22">
        <f>(1/(2*LOG(3.7*$I106/'Calculation Constants'!$B$3*1000)))^2</f>
        <v>9.8211436332891755E-3</v>
      </c>
      <c r="Z106" s="19">
        <f t="shared" si="33"/>
        <v>1.431963236834217</v>
      </c>
      <c r="AA106" s="19">
        <f>IF($H106&gt;0,'Calculation Constants'!$B$9*Hydraulics!$K106^2/2/9.81/MAX($F$4:$F$253)*$H106,"")</f>
        <v>7.8734226558858159E-2</v>
      </c>
      <c r="AB106" s="19">
        <f t="shared" si="55"/>
        <v>1.5106974633930752</v>
      </c>
      <c r="AC106" s="19">
        <f t="shared" si="34"/>
        <v>0</v>
      </c>
      <c r="AD106" s="19">
        <f t="shared" si="45"/>
        <v>77.965708112027301</v>
      </c>
      <c r="AE106" s="23">
        <f t="shared" si="46"/>
        <v>998.20870811202735</v>
      </c>
      <c r="AF106" s="27">
        <f>(1/(2*LOG(3.7*$I106/'Calculation Constants'!$B$4*1000)))^2</f>
        <v>1.1575055557914658E-2</v>
      </c>
      <c r="AG106" s="19">
        <f t="shared" si="35"/>
        <v>1.6876908272744866</v>
      </c>
      <c r="AH106" s="19">
        <f>IF($H106&gt;0,'Calculation Constants'!$B$9*Hydraulics!$K106^2/2/9.81/MAX($F$4:$F$253)*$H106,"")</f>
        <v>7.8734226558858159E-2</v>
      </c>
      <c r="AI106" s="19">
        <f t="shared" si="47"/>
        <v>1.7664250538333448</v>
      </c>
      <c r="AJ106" s="19">
        <f t="shared" si="36"/>
        <v>0</v>
      </c>
      <c r="AK106" s="19">
        <f t="shared" si="48"/>
        <v>58.876179457475018</v>
      </c>
      <c r="AL106" s="23">
        <f t="shared" si="49"/>
        <v>979.11917945747507</v>
      </c>
      <c r="AM106" s="22">
        <f>(1/(2*LOG(3.7*($I106-0.008)/'Calculation Constants'!$B$5*1000)))^2</f>
        <v>1.4709705891825043E-2</v>
      </c>
      <c r="AN106" s="19">
        <f t="shared" si="50"/>
        <v>2.1543104841910781</v>
      </c>
      <c r="AO106" s="19">
        <f>IF($H106&gt;0,'Calculation Constants'!$B$9*Hydraulics!$K106^2/2/9.81/MAX($F$4:$F$253)*$H106,"")</f>
        <v>7.8734226558858159E-2</v>
      </c>
      <c r="AP106" s="19">
        <f t="shared" si="51"/>
        <v>2.2330447107499363</v>
      </c>
      <c r="AQ106" s="19">
        <f t="shared" si="37"/>
        <v>0</v>
      </c>
      <c r="AR106" s="19">
        <f t="shared" si="52"/>
        <v>24.11236426388291</v>
      </c>
      <c r="AS106" s="23">
        <f t="shared" si="53"/>
        <v>944.35536426388296</v>
      </c>
    </row>
    <row r="107" spans="5:45">
      <c r="E107" s="35" t="str">
        <f t="shared" si="3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1.8</v>
      </c>
      <c r="J107" s="36">
        <f>'Flow Rate Calculations'!$B$7</f>
        <v>4.0831050228310497</v>
      </c>
      <c r="K107" s="36">
        <f t="shared" si="39"/>
        <v>1.6045588828318709</v>
      </c>
      <c r="L107" s="37">
        <f>$I107*$K107/'Calculation Constants'!$B$7</f>
        <v>2555934.503625989</v>
      </c>
      <c r="M107" s="37">
        <f t="shared" si="40"/>
        <v>192.37300000000005</v>
      </c>
      <c r="N107" s="23">
        <f t="shared" si="41"/>
        <v>89.264387180154927</v>
      </c>
      <c r="O107" s="57">
        <f t="shared" si="29"/>
        <v>192.37300000000005</v>
      </c>
      <c r="P107" s="66">
        <f>MAX(I107*1000/'Calculation Constants'!$B$14,O107*10*I107*1000/2/('Calculation Constants'!$B$12*1000*'Calculation Constants'!$B$13))</f>
        <v>11.542380000000003</v>
      </c>
      <c r="Q107" s="68">
        <f t="shared" si="30"/>
        <v>1018177.6195184148</v>
      </c>
      <c r="R107" s="27">
        <f>(1/(2*LOG(3.7*$I107/'Calculation Constants'!$B$2*1000)))^2</f>
        <v>8.7463077071963571E-3</v>
      </c>
      <c r="S107" s="19">
        <f t="shared" si="42"/>
        <v>1.2752477269849725</v>
      </c>
      <c r="T107" s="19">
        <f>IF($H107&gt;0,'Calculation Constants'!$B$9*Hydraulics!$K107^2/2/9.81/MAX($F$4:$F$253)*$H107,"")</f>
        <v>7.8734226558858159E-2</v>
      </c>
      <c r="U107" s="19">
        <f t="shared" si="43"/>
        <v>1.3539819535438307</v>
      </c>
      <c r="V107" s="19">
        <f t="shared" si="31"/>
        <v>0</v>
      </c>
      <c r="W107" s="19">
        <f t="shared" si="32"/>
        <v>89.264387180154927</v>
      </c>
      <c r="X107" s="23">
        <f t="shared" si="44"/>
        <v>1008.561387180155</v>
      </c>
      <c r="Y107" s="22">
        <f>(1/(2*LOG(3.7*$I107/'Calculation Constants'!$B$3*1000)))^2</f>
        <v>9.8211436332891755E-3</v>
      </c>
      <c r="Z107" s="19">
        <f t="shared" si="33"/>
        <v>1.431963236834217</v>
      </c>
      <c r="AA107" s="19">
        <f>IF($H107&gt;0,'Calculation Constants'!$B$9*Hydraulics!$K107^2/2/9.81/MAX($F$4:$F$253)*$H107,"")</f>
        <v>7.8734226558858159E-2</v>
      </c>
      <c r="AB107" s="19">
        <f t="shared" si="55"/>
        <v>1.5106974633930752</v>
      </c>
      <c r="AC107" s="19">
        <f t="shared" si="34"/>
        <v>0</v>
      </c>
      <c r="AD107" s="19">
        <f t="shared" si="45"/>
        <v>77.401010648634269</v>
      </c>
      <c r="AE107" s="23">
        <f t="shared" si="46"/>
        <v>996.69801064863429</v>
      </c>
      <c r="AF107" s="27">
        <f>(1/(2*LOG(3.7*$I107/'Calculation Constants'!$B$4*1000)))^2</f>
        <v>1.1575055557914658E-2</v>
      </c>
      <c r="AG107" s="19">
        <f t="shared" si="35"/>
        <v>1.6876908272744866</v>
      </c>
      <c r="AH107" s="19">
        <f>IF($H107&gt;0,'Calculation Constants'!$B$9*Hydraulics!$K107^2/2/9.81/MAX($F$4:$F$253)*$H107,"")</f>
        <v>7.8734226558858159E-2</v>
      </c>
      <c r="AI107" s="19">
        <f t="shared" si="47"/>
        <v>1.7664250538333448</v>
      </c>
      <c r="AJ107" s="19">
        <f t="shared" si="36"/>
        <v>0</v>
      </c>
      <c r="AK107" s="19">
        <f t="shared" si="48"/>
        <v>58.055754403641686</v>
      </c>
      <c r="AL107" s="23">
        <f t="shared" si="49"/>
        <v>977.35275440364171</v>
      </c>
      <c r="AM107" s="22">
        <f>(1/(2*LOG(3.7*($I107-0.008)/'Calculation Constants'!$B$5*1000)))^2</f>
        <v>1.4709705891825043E-2</v>
      </c>
      <c r="AN107" s="19">
        <f t="shared" si="50"/>
        <v>2.1543104841910781</v>
      </c>
      <c r="AO107" s="19">
        <f>IF($H107&gt;0,'Calculation Constants'!$B$9*Hydraulics!$K107^2/2/9.81/MAX($F$4:$F$253)*$H107,"")</f>
        <v>7.8734226558858159E-2</v>
      </c>
      <c r="AP107" s="19">
        <f t="shared" si="51"/>
        <v>2.2330447107499363</v>
      </c>
      <c r="AQ107" s="19">
        <f t="shared" si="37"/>
        <v>0</v>
      </c>
      <c r="AR107" s="19">
        <f t="shared" si="52"/>
        <v>22.825319553132999</v>
      </c>
      <c r="AS107" s="23">
        <f t="shared" si="53"/>
        <v>942.12231955313302</v>
      </c>
    </row>
    <row r="108" spans="5:45">
      <c r="E108" s="35" t="str">
        <f t="shared" si="3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1.8</v>
      </c>
      <c r="J108" s="36">
        <f>'Flow Rate Calculations'!$B$7</f>
        <v>4.0831050228310497</v>
      </c>
      <c r="K108" s="36">
        <f t="shared" si="39"/>
        <v>1.6045588828318709</v>
      </c>
      <c r="L108" s="37">
        <f>$I108*$K108/'Calculation Constants'!$B$7</f>
        <v>2555934.503625989</v>
      </c>
      <c r="M108" s="37">
        <f t="shared" si="40"/>
        <v>194.13700000000006</v>
      </c>
      <c r="N108" s="23">
        <f t="shared" si="41"/>
        <v>89.674405226611157</v>
      </c>
      <c r="O108" s="57">
        <f t="shared" si="29"/>
        <v>194.13700000000006</v>
      </c>
      <c r="P108" s="66">
        <f>MAX(I108*1000/'Calculation Constants'!$B$14,O108*10*I108*1000/2/('Calculation Constants'!$B$12*1000*'Calculation Constants'!$B$13))</f>
        <v>11.648220000000004</v>
      </c>
      <c r="Q108" s="68">
        <f t="shared" si="30"/>
        <v>1027453.18080765</v>
      </c>
      <c r="R108" s="27">
        <f>(1/(2*LOG(3.7*$I108/'Calculation Constants'!$B$2*1000)))^2</f>
        <v>8.7463077071963571E-3</v>
      </c>
      <c r="S108" s="19">
        <f t="shared" si="42"/>
        <v>1.2752477269849725</v>
      </c>
      <c r="T108" s="19">
        <f>IF($H108&gt;0,'Calculation Constants'!$B$9*Hydraulics!$K108^2/2/9.81/MAX($F$4:$F$253)*$H108,"")</f>
        <v>7.8734226558858159E-2</v>
      </c>
      <c r="U108" s="19">
        <f t="shared" si="43"/>
        <v>1.3539819535438307</v>
      </c>
      <c r="V108" s="19">
        <f t="shared" si="31"/>
        <v>0</v>
      </c>
      <c r="W108" s="19">
        <f t="shared" si="32"/>
        <v>89.674405226611157</v>
      </c>
      <c r="X108" s="23">
        <f t="shared" si="44"/>
        <v>1007.2074052266112</v>
      </c>
      <c r="Y108" s="22">
        <f>(1/(2*LOG(3.7*$I108/'Calculation Constants'!$B$3*1000)))^2</f>
        <v>9.8211436332891755E-3</v>
      </c>
      <c r="Z108" s="19">
        <f t="shared" si="33"/>
        <v>1.431963236834217</v>
      </c>
      <c r="AA108" s="19">
        <f>IF($H108&gt;0,'Calculation Constants'!$B$9*Hydraulics!$K108^2/2/9.81/MAX($F$4:$F$253)*$H108,"")</f>
        <v>7.8734226558858159E-2</v>
      </c>
      <c r="AB108" s="19">
        <f t="shared" si="55"/>
        <v>1.5106974633930752</v>
      </c>
      <c r="AC108" s="19">
        <f t="shared" si="34"/>
        <v>0</v>
      </c>
      <c r="AD108" s="19">
        <f t="shared" si="45"/>
        <v>77.654313185241222</v>
      </c>
      <c r="AE108" s="23">
        <f t="shared" si="46"/>
        <v>995.18731318524124</v>
      </c>
      <c r="AF108" s="27">
        <f>(1/(2*LOG(3.7*$I108/'Calculation Constants'!$B$4*1000)))^2</f>
        <v>1.1575055557914658E-2</v>
      </c>
      <c r="AG108" s="19">
        <f t="shared" si="35"/>
        <v>1.6876908272744866</v>
      </c>
      <c r="AH108" s="19">
        <f>IF($H108&gt;0,'Calculation Constants'!$B$9*Hydraulics!$K108^2/2/9.81/MAX($F$4:$F$253)*$H108,"")</f>
        <v>7.8734226558858159E-2</v>
      </c>
      <c r="AI108" s="19">
        <f t="shared" si="47"/>
        <v>1.7664250538333448</v>
      </c>
      <c r="AJ108" s="19">
        <f t="shared" si="36"/>
        <v>0</v>
      </c>
      <c r="AK108" s="19">
        <f t="shared" si="48"/>
        <v>58.053329349808337</v>
      </c>
      <c r="AL108" s="23">
        <f t="shared" si="49"/>
        <v>975.58632934980835</v>
      </c>
      <c r="AM108" s="22">
        <f>(1/(2*LOG(3.7*($I108-0.008)/'Calculation Constants'!$B$5*1000)))^2</f>
        <v>1.4709705891825043E-2</v>
      </c>
      <c r="AN108" s="19">
        <f t="shared" si="50"/>
        <v>2.1543104841910781</v>
      </c>
      <c r="AO108" s="19">
        <f>IF($H108&gt;0,'Calculation Constants'!$B$9*Hydraulics!$K108^2/2/9.81/MAX($F$4:$F$253)*$H108,"")</f>
        <v>7.8734226558858159E-2</v>
      </c>
      <c r="AP108" s="19">
        <f t="shared" si="51"/>
        <v>2.2330447107499363</v>
      </c>
      <c r="AQ108" s="19">
        <f t="shared" si="37"/>
        <v>0</v>
      </c>
      <c r="AR108" s="19">
        <f t="shared" si="52"/>
        <v>22.356274842383073</v>
      </c>
      <c r="AS108" s="23">
        <f t="shared" si="53"/>
        <v>939.88927484238309</v>
      </c>
    </row>
    <row r="109" spans="5:45">
      <c r="E109" s="35" t="str">
        <f t="shared" si="3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1.8</v>
      </c>
      <c r="J109" s="36">
        <f>'Flow Rate Calculations'!$B$7</f>
        <v>4.0831050228310497</v>
      </c>
      <c r="K109" s="36">
        <f t="shared" si="39"/>
        <v>1.6045588828318709</v>
      </c>
      <c r="L109" s="37">
        <f>$I109*$K109/'Calculation Constants'!$B$7</f>
        <v>2555934.503625989</v>
      </c>
      <c r="M109" s="37">
        <f t="shared" si="40"/>
        <v>193.9860000000001</v>
      </c>
      <c r="N109" s="23">
        <f t="shared" si="41"/>
        <v>88.169423273067423</v>
      </c>
      <c r="O109" s="57">
        <f t="shared" si="29"/>
        <v>193.9860000000001</v>
      </c>
      <c r="P109" s="66">
        <f>MAX(I109*1000/'Calculation Constants'!$B$14,O109*10*I109*1000/2/('Calculation Constants'!$B$12*1000*'Calculation Constants'!$B$13))</f>
        <v>11.639160000000006</v>
      </c>
      <c r="Q109" s="68">
        <f t="shared" si="30"/>
        <v>1026659.2275958136</v>
      </c>
      <c r="R109" s="27">
        <f>(1/(2*LOG(3.7*$I109/'Calculation Constants'!$B$2*1000)))^2</f>
        <v>8.7463077071963571E-3</v>
      </c>
      <c r="S109" s="19">
        <f t="shared" si="42"/>
        <v>1.2752477269849725</v>
      </c>
      <c r="T109" s="19">
        <f>IF($H109&gt;0,'Calculation Constants'!$B$9*Hydraulics!$K109^2/2/9.81/MAX($F$4:$F$253)*$H109,"")</f>
        <v>7.8734226558858159E-2</v>
      </c>
      <c r="U109" s="19">
        <f t="shared" si="43"/>
        <v>1.3539819535438307</v>
      </c>
      <c r="V109" s="19">
        <f t="shared" si="31"/>
        <v>0</v>
      </c>
      <c r="W109" s="19">
        <f t="shared" si="32"/>
        <v>88.169423273067423</v>
      </c>
      <c r="X109" s="23">
        <f t="shared" si="44"/>
        <v>1005.8534232730674</v>
      </c>
      <c r="Y109" s="22">
        <f>(1/(2*LOG(3.7*$I109/'Calculation Constants'!$B$3*1000)))^2</f>
        <v>9.8211436332891755E-3</v>
      </c>
      <c r="Z109" s="19">
        <f t="shared" si="33"/>
        <v>1.431963236834217</v>
      </c>
      <c r="AA109" s="19">
        <f>IF($H109&gt;0,'Calculation Constants'!$B$9*Hydraulics!$K109^2/2/9.81/MAX($F$4:$F$253)*$H109,"")</f>
        <v>7.8734226558858159E-2</v>
      </c>
      <c r="AB109" s="19">
        <f t="shared" si="55"/>
        <v>1.5106974633930752</v>
      </c>
      <c r="AC109" s="19">
        <f t="shared" si="34"/>
        <v>0</v>
      </c>
      <c r="AD109" s="19">
        <f t="shared" si="45"/>
        <v>75.99261572184821</v>
      </c>
      <c r="AE109" s="23">
        <f t="shared" si="46"/>
        <v>993.67661572184818</v>
      </c>
      <c r="AF109" s="27">
        <f>(1/(2*LOG(3.7*$I109/'Calculation Constants'!$B$4*1000)))^2</f>
        <v>1.1575055557914658E-2</v>
      </c>
      <c r="AG109" s="19">
        <f t="shared" si="35"/>
        <v>1.6876908272744866</v>
      </c>
      <c r="AH109" s="19">
        <f>IF($H109&gt;0,'Calculation Constants'!$B$9*Hydraulics!$K109^2/2/9.81/MAX($F$4:$F$253)*$H109,"")</f>
        <v>7.8734226558858159E-2</v>
      </c>
      <c r="AI109" s="19">
        <f t="shared" si="47"/>
        <v>1.7664250538333448</v>
      </c>
      <c r="AJ109" s="19">
        <f t="shared" si="36"/>
        <v>0</v>
      </c>
      <c r="AK109" s="19">
        <f t="shared" si="48"/>
        <v>56.135904295975024</v>
      </c>
      <c r="AL109" s="23">
        <f t="shared" si="49"/>
        <v>973.81990429597499</v>
      </c>
      <c r="AM109" s="22">
        <f>(1/(2*LOG(3.7*($I109-0.008)/'Calculation Constants'!$B$5*1000)))^2</f>
        <v>1.4709705891825043E-2</v>
      </c>
      <c r="AN109" s="19">
        <f t="shared" si="50"/>
        <v>2.1543104841910781</v>
      </c>
      <c r="AO109" s="19">
        <f>IF($H109&gt;0,'Calculation Constants'!$B$9*Hydraulics!$K109^2/2/9.81/MAX($F$4:$F$253)*$H109,"")</f>
        <v>7.8734226558858159E-2</v>
      </c>
      <c r="AP109" s="19">
        <f t="shared" si="51"/>
        <v>2.2330447107499363</v>
      </c>
      <c r="AQ109" s="19">
        <f t="shared" si="37"/>
        <v>0</v>
      </c>
      <c r="AR109" s="19">
        <f t="shared" si="52"/>
        <v>19.972230131633182</v>
      </c>
      <c r="AS109" s="23">
        <f t="shared" si="53"/>
        <v>937.65623013163315</v>
      </c>
    </row>
    <row r="110" spans="5:45">
      <c r="E110" s="35" t="str">
        <f t="shared" si="3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1.8</v>
      </c>
      <c r="J110" s="36">
        <f>'Flow Rate Calculations'!$B$7</f>
        <v>4.0831050228310497</v>
      </c>
      <c r="K110" s="36">
        <f t="shared" si="39"/>
        <v>1.6045588828318709</v>
      </c>
      <c r="L110" s="37">
        <f>$I110*$K110/'Calculation Constants'!$B$7</f>
        <v>2555934.503625989</v>
      </c>
      <c r="M110" s="37">
        <f t="shared" si="40"/>
        <v>195.94600000000003</v>
      </c>
      <c r="N110" s="23">
        <f t="shared" si="41"/>
        <v>88.775441319523566</v>
      </c>
      <c r="O110" s="57">
        <f t="shared" si="29"/>
        <v>195.94600000000003</v>
      </c>
      <c r="P110" s="66">
        <f>MAX(I110*1000/'Calculation Constants'!$B$14,O110*10*I110*1000/2/('Calculation Constants'!$B$12*1000*'Calculation Constants'!$B$13))</f>
        <v>11.756760000000003</v>
      </c>
      <c r="Q110" s="68">
        <f t="shared" si="30"/>
        <v>1036964.2158709641</v>
      </c>
      <c r="R110" s="27">
        <f>(1/(2*LOG(3.7*$I110/'Calculation Constants'!$B$2*1000)))^2</f>
        <v>8.7463077071963571E-3</v>
      </c>
      <c r="S110" s="19">
        <f t="shared" si="42"/>
        <v>1.2752477269849725</v>
      </c>
      <c r="T110" s="19">
        <f>IF($H110&gt;0,'Calculation Constants'!$B$9*Hydraulics!$K110^2/2/9.81/MAX($F$4:$F$253)*$H110,"")</f>
        <v>7.8734226558858159E-2</v>
      </c>
      <c r="U110" s="19">
        <f t="shared" si="43"/>
        <v>1.3539819535438307</v>
      </c>
      <c r="V110" s="19">
        <f t="shared" si="31"/>
        <v>0</v>
      </c>
      <c r="W110" s="19">
        <f t="shared" si="32"/>
        <v>88.775441319523566</v>
      </c>
      <c r="X110" s="23">
        <f t="shared" si="44"/>
        <v>1004.4994413195236</v>
      </c>
      <c r="Y110" s="22">
        <f>(1/(2*LOG(3.7*$I110/'Calculation Constants'!$B$3*1000)))^2</f>
        <v>9.8211436332891755E-3</v>
      </c>
      <c r="Z110" s="19">
        <f t="shared" si="33"/>
        <v>1.431963236834217</v>
      </c>
      <c r="AA110" s="19">
        <f>IF($H110&gt;0,'Calculation Constants'!$B$9*Hydraulics!$K110^2/2/9.81/MAX($F$4:$F$253)*$H110,"")</f>
        <v>7.8734226558858159E-2</v>
      </c>
      <c r="AB110" s="19">
        <f t="shared" si="55"/>
        <v>1.5106974633930752</v>
      </c>
      <c r="AC110" s="19">
        <f t="shared" si="34"/>
        <v>0</v>
      </c>
      <c r="AD110" s="19">
        <f t="shared" si="45"/>
        <v>76.441918258455075</v>
      </c>
      <c r="AE110" s="23">
        <f t="shared" si="46"/>
        <v>992.16591825845512</v>
      </c>
      <c r="AF110" s="27">
        <f>(1/(2*LOG(3.7*$I110/'Calculation Constants'!$B$4*1000)))^2</f>
        <v>1.1575055557914658E-2</v>
      </c>
      <c r="AG110" s="19">
        <f t="shared" si="35"/>
        <v>1.6876908272744866</v>
      </c>
      <c r="AH110" s="19">
        <f>IF($H110&gt;0,'Calculation Constants'!$B$9*Hydraulics!$K110^2/2/9.81/MAX($F$4:$F$253)*$H110,"")</f>
        <v>7.8734226558858159E-2</v>
      </c>
      <c r="AI110" s="19">
        <f t="shared" si="47"/>
        <v>1.7664250538333448</v>
      </c>
      <c r="AJ110" s="19">
        <f t="shared" si="36"/>
        <v>0</v>
      </c>
      <c r="AK110" s="19">
        <f t="shared" si="48"/>
        <v>56.329479242141588</v>
      </c>
      <c r="AL110" s="23">
        <f t="shared" si="49"/>
        <v>972.05347924214163</v>
      </c>
      <c r="AM110" s="22">
        <f>(1/(2*LOG(3.7*($I110-0.008)/'Calculation Constants'!$B$5*1000)))^2</f>
        <v>1.4709705891825043E-2</v>
      </c>
      <c r="AN110" s="19">
        <f t="shared" si="50"/>
        <v>2.1543104841910781</v>
      </c>
      <c r="AO110" s="19">
        <f>IF($H110&gt;0,'Calculation Constants'!$B$9*Hydraulics!$K110^2/2/9.81/MAX($F$4:$F$253)*$H110,"")</f>
        <v>7.8734226558858159E-2</v>
      </c>
      <c r="AP110" s="19">
        <f t="shared" si="51"/>
        <v>2.2330447107499363</v>
      </c>
      <c r="AQ110" s="19">
        <f t="shared" si="37"/>
        <v>0</v>
      </c>
      <c r="AR110" s="19">
        <f t="shared" si="52"/>
        <v>19.699185420883168</v>
      </c>
      <c r="AS110" s="23">
        <f t="shared" si="53"/>
        <v>935.42318542088321</v>
      </c>
    </row>
    <row r="111" spans="5:45">
      <c r="E111" s="35" t="str">
        <f t="shared" si="3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1.8</v>
      </c>
      <c r="J111" s="36">
        <f>'Flow Rate Calculations'!$B$7</f>
        <v>4.0831050228310497</v>
      </c>
      <c r="K111" s="36">
        <f t="shared" si="39"/>
        <v>1.6045588828318709</v>
      </c>
      <c r="L111" s="37">
        <f>$I111*$K111/'Calculation Constants'!$B$7</f>
        <v>2555934.503625989</v>
      </c>
      <c r="M111" s="37">
        <f t="shared" si="40"/>
        <v>195.94000000000005</v>
      </c>
      <c r="N111" s="23">
        <f t="shared" si="41"/>
        <v>87.415459365979814</v>
      </c>
      <c r="O111" s="57">
        <f t="shared" si="29"/>
        <v>195.94000000000005</v>
      </c>
      <c r="P111" s="66">
        <f>MAX(I111*1000/'Calculation Constants'!$B$14,O111*10*I111*1000/2/('Calculation Constants'!$B$12*1000*'Calculation Constants'!$B$13))</f>
        <v>11.756400000000003</v>
      </c>
      <c r="Q111" s="68">
        <f t="shared" si="30"/>
        <v>1036932.672070229</v>
      </c>
      <c r="R111" s="27">
        <f>(1/(2*LOG(3.7*$I111/'Calculation Constants'!$B$2*1000)))^2</f>
        <v>8.7463077071963571E-3</v>
      </c>
      <c r="S111" s="19">
        <f t="shared" si="42"/>
        <v>1.2752477269849725</v>
      </c>
      <c r="T111" s="19">
        <f>IF($H111&gt;0,'Calculation Constants'!$B$9*Hydraulics!$K111^2/2/9.81/MAX($F$4:$F$253)*$H111,"")</f>
        <v>7.8734226558858159E-2</v>
      </c>
      <c r="U111" s="19">
        <f t="shared" si="43"/>
        <v>1.3539819535438307</v>
      </c>
      <c r="V111" s="19">
        <f t="shared" si="31"/>
        <v>0</v>
      </c>
      <c r="W111" s="19">
        <f t="shared" si="32"/>
        <v>87.415459365979814</v>
      </c>
      <c r="X111" s="23">
        <f t="shared" si="44"/>
        <v>1003.1454593659798</v>
      </c>
      <c r="Y111" s="22">
        <f>(1/(2*LOG(3.7*$I111/'Calculation Constants'!$B$3*1000)))^2</f>
        <v>9.8211436332891755E-3</v>
      </c>
      <c r="Z111" s="19">
        <f t="shared" si="33"/>
        <v>1.431963236834217</v>
      </c>
      <c r="AA111" s="19">
        <f>IF($H111&gt;0,'Calculation Constants'!$B$9*Hydraulics!$K111^2/2/9.81/MAX($F$4:$F$253)*$H111,"")</f>
        <v>7.8734226558858159E-2</v>
      </c>
      <c r="AB111" s="19">
        <f t="shared" si="55"/>
        <v>1.5106974633930752</v>
      </c>
      <c r="AC111" s="19">
        <f t="shared" si="34"/>
        <v>0</v>
      </c>
      <c r="AD111" s="19">
        <f t="shared" si="45"/>
        <v>74.925220795062046</v>
      </c>
      <c r="AE111" s="23">
        <f t="shared" si="46"/>
        <v>990.65522079506206</v>
      </c>
      <c r="AF111" s="27">
        <f>(1/(2*LOG(3.7*$I111/'Calculation Constants'!$B$4*1000)))^2</f>
        <v>1.1575055557914658E-2</v>
      </c>
      <c r="AG111" s="19">
        <f t="shared" si="35"/>
        <v>1.6876908272744866</v>
      </c>
      <c r="AH111" s="19">
        <f>IF($H111&gt;0,'Calculation Constants'!$B$9*Hydraulics!$K111^2/2/9.81/MAX($F$4:$F$253)*$H111,"")</f>
        <v>7.8734226558858159E-2</v>
      </c>
      <c r="AI111" s="19">
        <f t="shared" si="47"/>
        <v>1.7664250538333448</v>
      </c>
      <c r="AJ111" s="19">
        <f t="shared" si="36"/>
        <v>0</v>
      </c>
      <c r="AK111" s="19">
        <f t="shared" si="48"/>
        <v>54.557054188308257</v>
      </c>
      <c r="AL111" s="23">
        <f t="shared" si="49"/>
        <v>970.28705418830828</v>
      </c>
      <c r="AM111" s="22">
        <f>(1/(2*LOG(3.7*($I111-0.008)/'Calculation Constants'!$B$5*1000)))^2</f>
        <v>1.4709705891825043E-2</v>
      </c>
      <c r="AN111" s="19">
        <f t="shared" si="50"/>
        <v>2.1543104841910781</v>
      </c>
      <c r="AO111" s="19">
        <f>IF($H111&gt;0,'Calculation Constants'!$B$9*Hydraulics!$K111^2/2/9.81/MAX($F$4:$F$253)*$H111,"")</f>
        <v>7.8734226558858159E-2</v>
      </c>
      <c r="AP111" s="19">
        <f t="shared" si="51"/>
        <v>2.2330447107499363</v>
      </c>
      <c r="AQ111" s="19">
        <f t="shared" si="37"/>
        <v>0</v>
      </c>
      <c r="AR111" s="19">
        <f t="shared" si="52"/>
        <v>17.46014071013326</v>
      </c>
      <c r="AS111" s="23">
        <f t="shared" si="53"/>
        <v>933.19014071013328</v>
      </c>
    </row>
    <row r="112" spans="5:45">
      <c r="E112" s="35" t="str">
        <f t="shared" si="3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1.8</v>
      </c>
      <c r="J112" s="36">
        <f>'Flow Rate Calculations'!$B$7</f>
        <v>4.0831050228310497</v>
      </c>
      <c r="K112" s="36">
        <f t="shared" si="39"/>
        <v>1.6045588828318709</v>
      </c>
      <c r="L112" s="37">
        <f>$I112*$K112/'Calculation Constants'!$B$7</f>
        <v>2555934.503625989</v>
      </c>
      <c r="M112" s="37">
        <f t="shared" si="40"/>
        <v>196.08600000000013</v>
      </c>
      <c r="N112" s="23">
        <f t="shared" si="41"/>
        <v>86.207477412436106</v>
      </c>
      <c r="O112" s="57">
        <f t="shared" si="29"/>
        <v>196.08600000000013</v>
      </c>
      <c r="P112" s="66">
        <f>MAX(I112*1000/'Calculation Constants'!$B$14,O112*10*I112*1000/2/('Calculation Constants'!$B$12*1000*'Calculation Constants'!$B$13))</f>
        <v>11.765160000000007</v>
      </c>
      <c r="Q112" s="68">
        <f t="shared" si="30"/>
        <v>1037700.2342585765</v>
      </c>
      <c r="R112" s="27">
        <f>(1/(2*LOG(3.7*$I112/'Calculation Constants'!$B$2*1000)))^2</f>
        <v>8.7463077071963571E-3</v>
      </c>
      <c r="S112" s="19">
        <f t="shared" si="42"/>
        <v>1.2752477269849725</v>
      </c>
      <c r="T112" s="19">
        <f>IF($H112&gt;0,'Calculation Constants'!$B$9*Hydraulics!$K112^2/2/9.81/MAX($F$4:$F$253)*$H112,"")</f>
        <v>7.8734226558858159E-2</v>
      </c>
      <c r="U112" s="19">
        <f t="shared" si="43"/>
        <v>1.3539819535438307</v>
      </c>
      <c r="V112" s="19">
        <f t="shared" si="31"/>
        <v>0</v>
      </c>
      <c r="W112" s="19">
        <f t="shared" si="32"/>
        <v>86.207477412436106</v>
      </c>
      <c r="X112" s="23">
        <f t="shared" si="44"/>
        <v>1001.7914774124361</v>
      </c>
      <c r="Y112" s="22">
        <f>(1/(2*LOG(3.7*$I112/'Calculation Constants'!$B$3*1000)))^2</f>
        <v>9.8211436332891755E-3</v>
      </c>
      <c r="Z112" s="19">
        <f t="shared" si="33"/>
        <v>1.431963236834217</v>
      </c>
      <c r="AA112" s="19">
        <f>IF($H112&gt;0,'Calculation Constants'!$B$9*Hydraulics!$K112^2/2/9.81/MAX($F$4:$F$253)*$H112,"")</f>
        <v>7.8734226558858159E-2</v>
      </c>
      <c r="AB112" s="19">
        <f t="shared" si="55"/>
        <v>1.5106974633930752</v>
      </c>
      <c r="AC112" s="19">
        <f t="shared" si="34"/>
        <v>0</v>
      </c>
      <c r="AD112" s="19">
        <f t="shared" si="45"/>
        <v>73.56052333166906</v>
      </c>
      <c r="AE112" s="23">
        <f t="shared" si="46"/>
        <v>989.14452333166901</v>
      </c>
      <c r="AF112" s="27">
        <f>(1/(2*LOG(3.7*$I112/'Calculation Constants'!$B$4*1000)))^2</f>
        <v>1.1575055557914658E-2</v>
      </c>
      <c r="AG112" s="19">
        <f t="shared" si="35"/>
        <v>1.6876908272744866</v>
      </c>
      <c r="AH112" s="19">
        <f>IF($H112&gt;0,'Calculation Constants'!$B$9*Hydraulics!$K112^2/2/9.81/MAX($F$4:$F$253)*$H112,"")</f>
        <v>7.8734226558858159E-2</v>
      </c>
      <c r="AI112" s="19">
        <f t="shared" si="47"/>
        <v>1.7664250538333448</v>
      </c>
      <c r="AJ112" s="19">
        <f t="shared" si="36"/>
        <v>0</v>
      </c>
      <c r="AK112" s="19">
        <f t="shared" si="48"/>
        <v>52.93662913447497</v>
      </c>
      <c r="AL112" s="23">
        <f t="shared" si="49"/>
        <v>968.52062913447492</v>
      </c>
      <c r="AM112" s="22">
        <f>(1/(2*LOG(3.7*($I112-0.008)/'Calculation Constants'!$B$5*1000)))^2</f>
        <v>1.4709705891825043E-2</v>
      </c>
      <c r="AN112" s="19">
        <f t="shared" si="50"/>
        <v>2.1543104841910781</v>
      </c>
      <c r="AO112" s="19">
        <f>IF($H112&gt;0,'Calculation Constants'!$B$9*Hydraulics!$K112^2/2/9.81/MAX($F$4:$F$253)*$H112,"")</f>
        <v>7.8734226558858159E-2</v>
      </c>
      <c r="AP112" s="19">
        <f t="shared" si="51"/>
        <v>2.2330447107499363</v>
      </c>
      <c r="AQ112" s="19">
        <f t="shared" si="37"/>
        <v>0</v>
      </c>
      <c r="AR112" s="19">
        <f t="shared" si="52"/>
        <v>15.373095999383395</v>
      </c>
      <c r="AS112" s="23">
        <f t="shared" si="53"/>
        <v>930.95709599938334</v>
      </c>
    </row>
    <row r="113" spans="5:45">
      <c r="E113" s="35" t="str">
        <f t="shared" si="3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1.8</v>
      </c>
      <c r="J113" s="36">
        <f>'Flow Rate Calculations'!$B$7</f>
        <v>4.0831050228310497</v>
      </c>
      <c r="K113" s="36">
        <f t="shared" si="39"/>
        <v>1.6045588828318709</v>
      </c>
      <c r="L113" s="37">
        <f>$I113*$K113/'Calculation Constants'!$B$7</f>
        <v>2555934.503625989</v>
      </c>
      <c r="M113" s="37">
        <f t="shared" si="40"/>
        <v>196.22600000000011</v>
      </c>
      <c r="N113" s="23">
        <f t="shared" si="41"/>
        <v>84.993495458892312</v>
      </c>
      <c r="O113" s="57">
        <f t="shared" si="29"/>
        <v>196.22600000000011</v>
      </c>
      <c r="P113" s="66">
        <f>MAX(I113*1000/'Calculation Constants'!$B$14,O113*10*I113*1000/2/('Calculation Constants'!$B$12*1000*'Calculation Constants'!$B$13))</f>
        <v>11.773560000000007</v>
      </c>
      <c r="Q113" s="68">
        <f t="shared" si="30"/>
        <v>1038436.2456857221</v>
      </c>
      <c r="R113" s="27">
        <f>(1/(2*LOG(3.7*$I113/'Calculation Constants'!$B$2*1000)))^2</f>
        <v>8.7463077071963571E-3</v>
      </c>
      <c r="S113" s="19">
        <f t="shared" si="42"/>
        <v>1.2752477269849725</v>
      </c>
      <c r="T113" s="19">
        <f>IF($H113&gt;0,'Calculation Constants'!$B$9*Hydraulics!$K113^2/2/9.81/MAX($F$4:$F$253)*$H113,"")</f>
        <v>7.8734226558858159E-2</v>
      </c>
      <c r="U113" s="19">
        <f t="shared" si="43"/>
        <v>1.3539819535438307</v>
      </c>
      <c r="V113" s="19">
        <f t="shared" si="31"/>
        <v>0</v>
      </c>
      <c r="W113" s="19">
        <f t="shared" si="32"/>
        <v>84.993495458892312</v>
      </c>
      <c r="X113" s="23">
        <f t="shared" si="44"/>
        <v>1000.4374954588923</v>
      </c>
      <c r="Y113" s="22">
        <f>(1/(2*LOG(3.7*$I113/'Calculation Constants'!$B$3*1000)))^2</f>
        <v>9.8211436332891755E-3</v>
      </c>
      <c r="Z113" s="19">
        <f t="shared" si="33"/>
        <v>1.431963236834217</v>
      </c>
      <c r="AA113" s="19">
        <f>IF($H113&gt;0,'Calculation Constants'!$B$9*Hydraulics!$K113^2/2/9.81/MAX($F$4:$F$253)*$H113,"")</f>
        <v>7.8734226558858159E-2</v>
      </c>
      <c r="AB113" s="19">
        <f t="shared" si="55"/>
        <v>1.5106974633930752</v>
      </c>
      <c r="AC113" s="19">
        <f t="shared" si="34"/>
        <v>0</v>
      </c>
      <c r="AD113" s="19">
        <f t="shared" si="45"/>
        <v>72.189825868275989</v>
      </c>
      <c r="AE113" s="23">
        <f t="shared" si="46"/>
        <v>987.63382586827595</v>
      </c>
      <c r="AF113" s="27">
        <f>(1/(2*LOG(3.7*$I113/'Calculation Constants'!$B$4*1000)))^2</f>
        <v>1.1575055557914658E-2</v>
      </c>
      <c r="AG113" s="19">
        <f t="shared" si="35"/>
        <v>1.6876908272744866</v>
      </c>
      <c r="AH113" s="19">
        <f>IF($H113&gt;0,'Calculation Constants'!$B$9*Hydraulics!$K113^2/2/9.81/MAX($F$4:$F$253)*$H113,"")</f>
        <v>7.8734226558858159E-2</v>
      </c>
      <c r="AI113" s="19">
        <f t="shared" si="47"/>
        <v>1.7664250538333448</v>
      </c>
      <c r="AJ113" s="19">
        <f t="shared" si="36"/>
        <v>0</v>
      </c>
      <c r="AK113" s="19">
        <f t="shared" si="48"/>
        <v>51.310204080641597</v>
      </c>
      <c r="AL113" s="23">
        <f t="shared" si="49"/>
        <v>966.75420408064156</v>
      </c>
      <c r="AM113" s="22">
        <f>(1/(2*LOG(3.7*($I113-0.008)/'Calculation Constants'!$B$5*1000)))^2</f>
        <v>1.4709705891825043E-2</v>
      </c>
      <c r="AN113" s="19">
        <f t="shared" si="50"/>
        <v>2.1543104841910781</v>
      </c>
      <c r="AO113" s="19">
        <f>IF($H113&gt;0,'Calculation Constants'!$B$9*Hydraulics!$K113^2/2/9.81/MAX($F$4:$F$253)*$H113,"")</f>
        <v>7.8734226558858159E-2</v>
      </c>
      <c r="AP113" s="19">
        <f t="shared" si="51"/>
        <v>2.2330447107499363</v>
      </c>
      <c r="AQ113" s="19">
        <f t="shared" si="37"/>
        <v>0</v>
      </c>
      <c r="AR113" s="19">
        <f t="shared" si="52"/>
        <v>13.280051288633445</v>
      </c>
      <c r="AS113" s="23">
        <f t="shared" si="53"/>
        <v>928.7240512886334</v>
      </c>
    </row>
    <row r="114" spans="5:45">
      <c r="E114" s="35" t="str">
        <f t="shared" si="3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1.8</v>
      </c>
      <c r="J114" s="36">
        <f>'Flow Rate Calculations'!$B$7</f>
        <v>4.0831050228310497</v>
      </c>
      <c r="K114" s="36">
        <f t="shared" si="39"/>
        <v>1.6045588828318709</v>
      </c>
      <c r="L114" s="37">
        <f>$I114*$K114/'Calculation Constants'!$B$7</f>
        <v>2555934.503625989</v>
      </c>
      <c r="M114" s="37">
        <f t="shared" si="40"/>
        <v>198.15000000000009</v>
      </c>
      <c r="N114" s="23">
        <f t="shared" si="41"/>
        <v>85.56351350534851</v>
      </c>
      <c r="O114" s="57">
        <f t="shared" si="29"/>
        <v>198.15000000000009</v>
      </c>
      <c r="P114" s="66">
        <f>MAX(I114*1000/'Calculation Constants'!$B$14,O114*10*I114*1000/2/('Calculation Constants'!$B$12*1000*'Calculation Constants'!$B$13))</f>
        <v>11.889000000000006</v>
      </c>
      <c r="Q114" s="68">
        <f t="shared" si="30"/>
        <v>1048550.4404584797</v>
      </c>
      <c r="R114" s="27">
        <f>(1/(2*LOG(3.7*$I114/'Calculation Constants'!$B$2*1000)))^2</f>
        <v>8.7463077071963571E-3</v>
      </c>
      <c r="S114" s="19">
        <f t="shared" si="42"/>
        <v>1.2752477269849725</v>
      </c>
      <c r="T114" s="19">
        <f>IF($H114&gt;0,'Calculation Constants'!$B$9*Hydraulics!$K114^2/2/9.81/MAX($F$4:$F$253)*$H114,"")</f>
        <v>7.8734226558858159E-2</v>
      </c>
      <c r="U114" s="19">
        <f t="shared" si="43"/>
        <v>1.3539819535438307</v>
      </c>
      <c r="V114" s="19">
        <f t="shared" si="31"/>
        <v>0</v>
      </c>
      <c r="W114" s="19">
        <f t="shared" si="32"/>
        <v>85.56351350534851</v>
      </c>
      <c r="X114" s="23">
        <f t="shared" si="44"/>
        <v>999.08351350534849</v>
      </c>
      <c r="Y114" s="22">
        <f>(1/(2*LOG(3.7*$I114/'Calculation Constants'!$B$3*1000)))^2</f>
        <v>9.8211436332891755E-3</v>
      </c>
      <c r="Z114" s="19">
        <f t="shared" si="33"/>
        <v>1.431963236834217</v>
      </c>
      <c r="AA114" s="19">
        <f>IF($H114&gt;0,'Calculation Constants'!$B$9*Hydraulics!$K114^2/2/9.81/MAX($F$4:$F$253)*$H114,"")</f>
        <v>7.8734226558858159E-2</v>
      </c>
      <c r="AB114" s="19">
        <f t="shared" si="55"/>
        <v>1.5106974633930752</v>
      </c>
      <c r="AC114" s="19">
        <f t="shared" si="34"/>
        <v>0</v>
      </c>
      <c r="AD114" s="19">
        <f t="shared" si="45"/>
        <v>72.603128404882909</v>
      </c>
      <c r="AE114" s="23">
        <f t="shared" si="46"/>
        <v>986.12312840488289</v>
      </c>
      <c r="AF114" s="27">
        <f>(1/(2*LOG(3.7*$I114/'Calculation Constants'!$B$4*1000)))^2</f>
        <v>1.1575055557914658E-2</v>
      </c>
      <c r="AG114" s="19">
        <f t="shared" si="35"/>
        <v>1.6876908272744866</v>
      </c>
      <c r="AH114" s="19">
        <f>IF($H114&gt;0,'Calculation Constants'!$B$9*Hydraulics!$K114^2/2/9.81/MAX($F$4:$F$253)*$H114,"")</f>
        <v>7.8734226558858159E-2</v>
      </c>
      <c r="AI114" s="19">
        <f t="shared" si="47"/>
        <v>1.7664250538333448</v>
      </c>
      <c r="AJ114" s="19">
        <f t="shared" si="36"/>
        <v>0</v>
      </c>
      <c r="AK114" s="19">
        <f t="shared" si="48"/>
        <v>51.467779026808216</v>
      </c>
      <c r="AL114" s="23">
        <f t="shared" si="49"/>
        <v>964.9877790268082</v>
      </c>
      <c r="AM114" s="22">
        <f>(1/(2*LOG(3.7*($I114-0.008)/'Calculation Constants'!$B$5*1000)))^2</f>
        <v>1.4709705891825043E-2</v>
      </c>
      <c r="AN114" s="19">
        <f t="shared" si="50"/>
        <v>2.1543104841910781</v>
      </c>
      <c r="AO114" s="19">
        <f>IF($H114&gt;0,'Calculation Constants'!$B$9*Hydraulics!$K114^2/2/9.81/MAX($F$4:$F$253)*$H114,"")</f>
        <v>7.8734226558858159E-2</v>
      </c>
      <c r="AP114" s="19">
        <f t="shared" si="51"/>
        <v>2.2330447107499363</v>
      </c>
      <c r="AQ114" s="19">
        <f t="shared" si="37"/>
        <v>0</v>
      </c>
      <c r="AR114" s="19">
        <f t="shared" si="52"/>
        <v>12.971006577883486</v>
      </c>
      <c r="AS114" s="23">
        <f t="shared" si="53"/>
        <v>926.49100657788347</v>
      </c>
    </row>
    <row r="115" spans="5:45">
      <c r="E115" s="35" t="str">
        <f t="shared" si="3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1.8</v>
      </c>
      <c r="J115" s="36">
        <f>'Flow Rate Calculations'!$B$7</f>
        <v>4.0831050228310497</v>
      </c>
      <c r="K115" s="36">
        <f t="shared" si="39"/>
        <v>1.6045588828318709</v>
      </c>
      <c r="L115" s="37">
        <f>$I115*$K115/'Calculation Constants'!$B$7</f>
        <v>2555934.503625989</v>
      </c>
      <c r="M115" s="37">
        <f t="shared" si="40"/>
        <v>199.14600000000007</v>
      </c>
      <c r="N115" s="23">
        <f t="shared" si="41"/>
        <v>85.205531551804711</v>
      </c>
      <c r="O115" s="57">
        <f t="shared" si="29"/>
        <v>199.14600000000007</v>
      </c>
      <c r="P115" s="66">
        <f>MAX(I115*1000/'Calculation Constants'!$B$14,O115*10*I115*1000/2/('Calculation Constants'!$B$12*1000*'Calculation Constants'!$B$13))</f>
        <v>11.948760000000005</v>
      </c>
      <c r="Q115" s="68">
        <f t="shared" si="30"/>
        <v>1053785.7546070185</v>
      </c>
      <c r="R115" s="27">
        <f>(1/(2*LOG(3.7*$I115/'Calculation Constants'!$B$2*1000)))^2</f>
        <v>8.7463077071963571E-3</v>
      </c>
      <c r="S115" s="19">
        <f t="shared" si="42"/>
        <v>1.2752477269849725</v>
      </c>
      <c r="T115" s="19">
        <f>IF($H115&gt;0,'Calculation Constants'!$B$9*Hydraulics!$K115^2/2/9.81/MAX($F$4:$F$253)*$H115,"")</f>
        <v>7.8734226558858159E-2</v>
      </c>
      <c r="U115" s="19">
        <f t="shared" si="43"/>
        <v>1.3539819535438307</v>
      </c>
      <c r="V115" s="19">
        <f t="shared" si="31"/>
        <v>0</v>
      </c>
      <c r="W115" s="19">
        <f t="shared" si="32"/>
        <v>85.205531551804711</v>
      </c>
      <c r="X115" s="23">
        <f t="shared" si="44"/>
        <v>997.72953155180471</v>
      </c>
      <c r="Y115" s="22">
        <f>(1/(2*LOG(3.7*$I115/'Calculation Constants'!$B$3*1000)))^2</f>
        <v>9.8211436332891755E-3</v>
      </c>
      <c r="Z115" s="19">
        <f t="shared" si="33"/>
        <v>1.431963236834217</v>
      </c>
      <c r="AA115" s="19">
        <f>IF($H115&gt;0,'Calculation Constants'!$B$9*Hydraulics!$K115^2/2/9.81/MAX($F$4:$F$253)*$H115,"")</f>
        <v>7.8734226558858159E-2</v>
      </c>
      <c r="AB115" s="19">
        <f t="shared" si="55"/>
        <v>1.5106974633930752</v>
      </c>
      <c r="AC115" s="19">
        <f t="shared" si="34"/>
        <v>0</v>
      </c>
      <c r="AD115" s="19">
        <f t="shared" si="45"/>
        <v>72.088430941489833</v>
      </c>
      <c r="AE115" s="23">
        <f t="shared" si="46"/>
        <v>984.61243094148983</v>
      </c>
      <c r="AF115" s="27">
        <f>(1/(2*LOG(3.7*$I115/'Calculation Constants'!$B$4*1000)))^2</f>
        <v>1.1575055557914658E-2</v>
      </c>
      <c r="AG115" s="19">
        <f t="shared" si="35"/>
        <v>1.6876908272744866</v>
      </c>
      <c r="AH115" s="19">
        <f>IF($H115&gt;0,'Calculation Constants'!$B$9*Hydraulics!$K115^2/2/9.81/MAX($F$4:$F$253)*$H115,"")</f>
        <v>7.8734226558858159E-2</v>
      </c>
      <c r="AI115" s="19">
        <f t="shared" si="47"/>
        <v>1.7664250538333448</v>
      </c>
      <c r="AJ115" s="19">
        <f t="shared" si="36"/>
        <v>0</v>
      </c>
      <c r="AK115" s="19">
        <f t="shared" si="48"/>
        <v>50.697353972974838</v>
      </c>
      <c r="AL115" s="23">
        <f t="shared" si="49"/>
        <v>963.22135397297484</v>
      </c>
      <c r="AM115" s="22">
        <f>(1/(2*LOG(3.7*($I115-0.008)/'Calculation Constants'!$B$5*1000)))^2</f>
        <v>1.4709705891825043E-2</v>
      </c>
      <c r="AN115" s="19">
        <f t="shared" si="50"/>
        <v>2.1543104841910781</v>
      </c>
      <c r="AO115" s="19">
        <f>IF($H115&gt;0,'Calculation Constants'!$B$9*Hydraulics!$K115^2/2/9.81/MAX($F$4:$F$253)*$H115,"")</f>
        <v>7.8734226558858159E-2</v>
      </c>
      <c r="AP115" s="19">
        <f t="shared" si="51"/>
        <v>2.2330447107499363</v>
      </c>
      <c r="AQ115" s="19">
        <f t="shared" si="37"/>
        <v>0</v>
      </c>
      <c r="AR115" s="19">
        <f t="shared" si="52"/>
        <v>11.73396186713353</v>
      </c>
      <c r="AS115" s="23">
        <f t="shared" si="53"/>
        <v>924.25796186713353</v>
      </c>
    </row>
    <row r="116" spans="5:45">
      <c r="E116" s="35" t="str">
        <f t="shared" si="3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2</v>
      </c>
      <c r="J116" s="36">
        <f>'Flow Rate Calculations'!$B$7</f>
        <v>4.0831050228310497</v>
      </c>
      <c r="K116" s="36">
        <f t="shared" si="39"/>
        <v>1.2996926950938155</v>
      </c>
      <c r="L116" s="37">
        <f>$I116*$K116/'Calculation Constants'!$B$7</f>
        <v>2300341.0532633904</v>
      </c>
      <c r="M116" s="37">
        <f t="shared" si="40"/>
        <v>199.10500000000002</v>
      </c>
      <c r="N116" s="23">
        <f t="shared" si="41"/>
        <v>84.372579053077516</v>
      </c>
      <c r="O116" s="57">
        <f t="shared" si="29"/>
        <v>199.10500000000002</v>
      </c>
      <c r="P116" s="66">
        <f>MAX(I116*1000/'Calculation Constants'!$B$14,O116*10*I116*1000/2/('Calculation Constants'!$B$12*1000*'Calculation Constants'!$B$13))</f>
        <v>13.273666666666669</v>
      </c>
      <c r="Q116" s="68">
        <f t="shared" si="30"/>
        <v>1300704.0143700256</v>
      </c>
      <c r="R116" s="27">
        <f>(1/(2*LOG(3.7*$I116/'Calculation Constants'!$B$2*1000)))^2</f>
        <v>8.5984950812375404E-3</v>
      </c>
      <c r="S116" s="19">
        <f t="shared" si="42"/>
        <v>0.74029497268187827</v>
      </c>
      <c r="T116" s="19">
        <f>IF($H116&gt;0,'Calculation Constants'!$B$9*Hydraulics!$K116^2/2/9.81/MAX($F$4:$F$253)*$H116,"")</f>
        <v>5.1657526045266834E-2</v>
      </c>
      <c r="U116" s="19">
        <f t="shared" si="43"/>
        <v>0.79195249872714513</v>
      </c>
      <c r="V116" s="19">
        <f t="shared" si="31"/>
        <v>0</v>
      </c>
      <c r="W116" s="19">
        <f t="shared" si="32"/>
        <v>84.372579053077516</v>
      </c>
      <c r="X116" s="23">
        <f t="shared" si="44"/>
        <v>996.93757905307757</v>
      </c>
      <c r="Y116" s="22">
        <f>(1/(2*LOG(3.7*$I116/'Calculation Constants'!$B$3*1000)))^2</f>
        <v>9.645396509476439E-3</v>
      </c>
      <c r="Z116" s="19">
        <f t="shared" si="33"/>
        <v>0.83042886900867496</v>
      </c>
      <c r="AA116" s="19">
        <f>IF($H116&gt;0,'Calculation Constants'!$B$9*Hydraulics!$K116^2/2/9.81/MAX($F$4:$F$253)*$H116,"")</f>
        <v>5.1657526045266834E-2</v>
      </c>
      <c r="AB116" s="19">
        <f t="shared" si="55"/>
        <v>0.88208639505394182</v>
      </c>
      <c r="AC116" s="19">
        <f t="shared" si="34"/>
        <v>0</v>
      </c>
      <c r="AD116" s="19">
        <f t="shared" si="45"/>
        <v>71.16534454643579</v>
      </c>
      <c r="AE116" s="23">
        <f t="shared" si="46"/>
        <v>983.73034454643584</v>
      </c>
      <c r="AF116" s="27">
        <f>(1/(2*LOG(3.7*$I116/'Calculation Constants'!$B$4*1000)))^2</f>
        <v>1.1350445400368435E-2</v>
      </c>
      <c r="AG116" s="19">
        <f t="shared" si="35"/>
        <v>0.97722654815818577</v>
      </c>
      <c r="AH116" s="19">
        <f>IF($H116&gt;0,'Calculation Constants'!$B$9*Hydraulics!$K116^2/2/9.81/MAX($F$4:$F$253)*$H116,"")</f>
        <v>5.1657526045266834E-2</v>
      </c>
      <c r="AI116" s="19">
        <f t="shared" si="47"/>
        <v>1.0288840742034526</v>
      </c>
      <c r="AJ116" s="19">
        <f t="shared" si="36"/>
        <v>0</v>
      </c>
      <c r="AK116" s="19">
        <f t="shared" si="48"/>
        <v>49.627469898771324</v>
      </c>
      <c r="AL116" s="23">
        <f t="shared" si="49"/>
        <v>962.19246989877138</v>
      </c>
      <c r="AM116" s="22">
        <f>(1/(2*LOG(3.7*($I116-0.008)/'Calculation Constants'!$B$5*1000)))^2</f>
        <v>1.4387191027645335E-2</v>
      </c>
      <c r="AN116" s="19">
        <f t="shared" si="50"/>
        <v>1.243652435121851</v>
      </c>
      <c r="AO116" s="19">
        <f>IF($H116&gt;0,'Calculation Constants'!$B$9*Hydraulics!$K116^2/2/9.81/MAX($F$4:$F$253)*$H116,"")</f>
        <v>5.1657526045266834E-2</v>
      </c>
      <c r="AP116" s="19">
        <f t="shared" si="51"/>
        <v>1.2953099611671177</v>
      </c>
      <c r="AQ116" s="19">
        <f t="shared" si="37"/>
        <v>0</v>
      </c>
      <c r="AR116" s="19">
        <f t="shared" si="52"/>
        <v>10.397651905966313</v>
      </c>
      <c r="AS116" s="23">
        <f t="shared" si="53"/>
        <v>922.96265190596637</v>
      </c>
    </row>
    <row r="117" spans="5:45">
      <c r="E117" s="35" t="str">
        <f t="shared" si="38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</v>
      </c>
      <c r="J117" s="36">
        <f>'Flow Rate Calculations'!$B$7</f>
        <v>4.0831050228310497</v>
      </c>
      <c r="K117" s="36">
        <f t="shared" si="39"/>
        <v>1.2996926950938155</v>
      </c>
      <c r="L117" s="37">
        <f>$I117*$K117/'Calculation Constants'!$B$7</f>
        <v>2300341.0532633904</v>
      </c>
      <c r="M117" s="37" t="str">
        <f t="shared" si="40"/>
        <v>Greater Dynamic Pressures</v>
      </c>
      <c r="N117" s="23">
        <f t="shared" si="41"/>
        <v>10</v>
      </c>
      <c r="O117" s="57">
        <f t="shared" si="29"/>
        <v>129.99999999999989</v>
      </c>
      <c r="P117" s="66">
        <f>MAX(I117*1000/'Calculation Constants'!$B$14,O117*10*I117*1000/2/('Calculation Constants'!$B$12*1000*'Calculation Constants'!$B$13))</f>
        <v>12.5</v>
      </c>
      <c r="Q117" s="68">
        <f t="shared" si="30"/>
        <v>1225368.3970556525</v>
      </c>
      <c r="R117" s="27">
        <f>(1/(2*LOG(3.7*$I117/'Calculation Constants'!$B$2*1000)))^2</f>
        <v>8.5984950812375404E-3</v>
      </c>
      <c r="S117" s="19">
        <f t="shared" si="42"/>
        <v>0.74029497268187827</v>
      </c>
      <c r="T117" s="19">
        <f>IF($H117&gt;0,'Calculation Constants'!$B$9*Hydraulics!$K117^2/2/9.81/MAX($F$4:$F$253)*$H117,"")</f>
        <v>5.1657526045266834E-2</v>
      </c>
      <c r="U117" s="19">
        <f t="shared" si="43"/>
        <v>0.79195249872714513</v>
      </c>
      <c r="V117" s="19">
        <f t="shared" si="31"/>
        <v>120</v>
      </c>
      <c r="W117" s="19">
        <f t="shared" si="32"/>
        <v>10</v>
      </c>
      <c r="X117" s="23">
        <f t="shared" si="44"/>
        <v>1043.4839999999999</v>
      </c>
      <c r="Y117" s="22">
        <f>(1/(2*LOG(3.7*$I117/'Calculation Constants'!$B$3*1000)))^2</f>
        <v>9.645396509476439E-3</v>
      </c>
      <c r="Z117" s="19">
        <f t="shared" si="33"/>
        <v>0.83042886900867496</v>
      </c>
      <c r="AA117" s="19">
        <f>IF($H117&gt;0,'Calculation Constants'!$B$9*Hydraulics!$K117^2/2/9.81/MAX($F$4:$F$253)*$H117,"")</f>
        <v>5.1657526045266834E-2</v>
      </c>
      <c r="AB117" s="19">
        <f t="shared" si="55"/>
        <v>0.88208639505394182</v>
      </c>
      <c r="AC117" s="19">
        <f t="shared" si="34"/>
        <v>120</v>
      </c>
      <c r="AD117" s="19">
        <f t="shared" si="45"/>
        <v>129.99999999999989</v>
      </c>
      <c r="AE117" s="23">
        <f t="shared" si="46"/>
        <v>1043.4839999999999</v>
      </c>
      <c r="AF117" s="27">
        <f>(1/(2*LOG(3.7*$I117/'Calculation Constants'!$B$4*1000)))^2</f>
        <v>1.1350445400368435E-2</v>
      </c>
      <c r="AG117" s="19">
        <f t="shared" si="35"/>
        <v>0.97722654815818577</v>
      </c>
      <c r="AH117" s="19">
        <f>IF($H117&gt;0,'Calculation Constants'!$B$9*Hydraulics!$K117^2/2/9.81/MAX($F$4:$F$253)*$H117,"")</f>
        <v>5.1657526045266834E-2</v>
      </c>
      <c r="AI117" s="19">
        <f t="shared" si="47"/>
        <v>1.0288840742034526</v>
      </c>
      <c r="AJ117" s="19">
        <f t="shared" si="36"/>
        <v>120</v>
      </c>
      <c r="AK117" s="19">
        <f t="shared" si="48"/>
        <v>129.99999999999989</v>
      </c>
      <c r="AL117" s="23">
        <f t="shared" si="49"/>
        <v>1043.4839999999999</v>
      </c>
      <c r="AM117" s="22">
        <f>(1/(2*LOG(3.7*($I117-0.008)/'Calculation Constants'!$B$5*1000)))^2</f>
        <v>1.4387191027645335E-2</v>
      </c>
      <c r="AN117" s="19">
        <f t="shared" si="50"/>
        <v>1.243652435121851</v>
      </c>
      <c r="AO117" s="19">
        <f>IF($H117&gt;0,'Calculation Constants'!$B$9*Hydraulics!$K117^2/2/9.81/MAX($F$4:$F$253)*$H117,"")</f>
        <v>5.1657526045266834E-2</v>
      </c>
      <c r="AP117" s="19">
        <f t="shared" si="51"/>
        <v>1.2953099611671177</v>
      </c>
      <c r="AQ117" s="19">
        <f t="shared" si="37"/>
        <v>120</v>
      </c>
      <c r="AR117" s="19">
        <f t="shared" si="52"/>
        <v>129.99999999999989</v>
      </c>
      <c r="AS117" s="23">
        <f t="shared" si="53"/>
        <v>1043.4839999999999</v>
      </c>
    </row>
    <row r="118" spans="5:45">
      <c r="E118" s="35" t="str">
        <f t="shared" si="38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4"/>
        <v>2</v>
      </c>
      <c r="I118" s="19">
        <v>2</v>
      </c>
      <c r="J118" s="36">
        <f>'Flow Rate Calculations'!$B$7</f>
        <v>4.0831050228310497</v>
      </c>
      <c r="K118" s="36">
        <f t="shared" si="39"/>
        <v>1.2996926950938155</v>
      </c>
      <c r="L118" s="37">
        <f>$I118*$K118/'Calculation Constants'!$B$7</f>
        <v>2300341.0532633904</v>
      </c>
      <c r="M118" s="37" t="str">
        <f t="shared" si="40"/>
        <v>Greater Dynamic Pressures</v>
      </c>
      <c r="N118" s="23">
        <f t="shared" si="41"/>
        <v>129.14704750127282</v>
      </c>
      <c r="O118" s="57">
        <f t="shared" si="29"/>
        <v>129.05691360494609</v>
      </c>
      <c r="P118" s="66">
        <f>MAX(I118*1000/'Calculation Constants'!$B$14,O118*10*I118*1000/2/('Calculation Constants'!$B$12*1000*'Calculation Constants'!$B$13))</f>
        <v>12.5</v>
      </c>
      <c r="Q118" s="68">
        <f t="shared" si="30"/>
        <v>1225368.3970556525</v>
      </c>
      <c r="R118" s="27">
        <f>(1/(2*LOG(3.7*$I118/'Calculation Constants'!$B$2*1000)))^2</f>
        <v>8.5984950812375404E-3</v>
      </c>
      <c r="S118" s="19">
        <f t="shared" si="42"/>
        <v>0.74029497268187827</v>
      </c>
      <c r="T118" s="19">
        <f>IF($H118&gt;0,'Calculation Constants'!$B$9*Hydraulics!$K118^2/2/9.81/MAX($F$4:$F$253)*$H118,"")</f>
        <v>5.1657526045266834E-2</v>
      </c>
      <c r="U118" s="19">
        <f t="shared" si="43"/>
        <v>0.79195249872714513</v>
      </c>
      <c r="V118" s="19">
        <f t="shared" si="31"/>
        <v>0</v>
      </c>
      <c r="W118" s="19">
        <f t="shared" si="32"/>
        <v>129.14704750127282</v>
      </c>
      <c r="X118" s="23">
        <f t="shared" si="44"/>
        <v>1042.6920475012728</v>
      </c>
      <c r="Y118" s="22">
        <f>(1/(2*LOG(3.7*$I118/'Calculation Constants'!$B$3*1000)))^2</f>
        <v>9.645396509476439E-3</v>
      </c>
      <c r="Z118" s="19">
        <f t="shared" si="33"/>
        <v>0.83042886900867496</v>
      </c>
      <c r="AA118" s="19">
        <f>IF($H118&gt;0,'Calculation Constants'!$B$9*Hydraulics!$K118^2/2/9.81/MAX($F$4:$F$253)*$H118,"")</f>
        <v>5.1657526045266834E-2</v>
      </c>
      <c r="AB118" s="19">
        <f t="shared" si="55"/>
        <v>0.88208639505394182</v>
      </c>
      <c r="AC118" s="19">
        <f t="shared" si="34"/>
        <v>0</v>
      </c>
      <c r="AD118" s="19">
        <f t="shared" si="45"/>
        <v>129.05691360494609</v>
      </c>
      <c r="AE118" s="23">
        <f t="shared" si="46"/>
        <v>1042.601913604946</v>
      </c>
      <c r="AF118" s="27">
        <f>(1/(2*LOG(3.7*$I118/'Calculation Constants'!$B$4*1000)))^2</f>
        <v>1.1350445400368435E-2</v>
      </c>
      <c r="AG118" s="19">
        <f t="shared" si="35"/>
        <v>0.97722654815818577</v>
      </c>
      <c r="AH118" s="19">
        <f>IF($H118&gt;0,'Calculation Constants'!$B$9*Hydraulics!$K118^2/2/9.81/MAX($F$4:$F$253)*$H118,"")</f>
        <v>5.1657526045266834E-2</v>
      </c>
      <c r="AI118" s="19">
        <f t="shared" si="47"/>
        <v>1.0288840742034526</v>
      </c>
      <c r="AJ118" s="19">
        <f t="shared" si="36"/>
        <v>0</v>
      </c>
      <c r="AK118" s="19">
        <f t="shared" si="48"/>
        <v>128.9101159257965</v>
      </c>
      <c r="AL118" s="23">
        <f t="shared" si="49"/>
        <v>1042.4551159257965</v>
      </c>
      <c r="AM118" s="22">
        <f>(1/(2*LOG(3.7*($I118-0.008)/'Calculation Constants'!$B$5*1000)))^2</f>
        <v>1.4387191027645335E-2</v>
      </c>
      <c r="AN118" s="19">
        <f t="shared" si="50"/>
        <v>1.243652435121851</v>
      </c>
      <c r="AO118" s="19">
        <f>IF($H118&gt;0,'Calculation Constants'!$B$9*Hydraulics!$K118^2/2/9.81/MAX($F$4:$F$253)*$H118,"")</f>
        <v>5.1657526045266834E-2</v>
      </c>
      <c r="AP118" s="19">
        <f t="shared" si="51"/>
        <v>1.2953099611671177</v>
      </c>
      <c r="AQ118" s="19">
        <f t="shared" si="37"/>
        <v>0</v>
      </c>
      <c r="AR118" s="19">
        <f t="shared" si="52"/>
        <v>128.64369003883291</v>
      </c>
      <c r="AS118" s="23">
        <f t="shared" si="53"/>
        <v>1042.1886900388329</v>
      </c>
    </row>
    <row r="119" spans="5:45">
      <c r="E119" s="35" t="str">
        <f t="shared" si="38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4"/>
        <v>2</v>
      </c>
      <c r="I119" s="19">
        <v>2</v>
      </c>
      <c r="J119" s="36">
        <f>'Flow Rate Calculations'!$B$7</f>
        <v>4.0831050228310497</v>
      </c>
      <c r="K119" s="36">
        <f t="shared" si="39"/>
        <v>1.2996926950938155</v>
      </c>
      <c r="L119" s="37">
        <f>$I119*$K119/'Calculation Constants'!$B$7</f>
        <v>2300341.0532633904</v>
      </c>
      <c r="M119" s="37" t="str">
        <f t="shared" si="40"/>
        <v>Greater Dynamic Pressures</v>
      </c>
      <c r="N119" s="23">
        <f t="shared" si="41"/>
        <v>127.35409500254559</v>
      </c>
      <c r="O119" s="57">
        <f t="shared" si="29"/>
        <v>127.17382720989212</v>
      </c>
      <c r="P119" s="66">
        <f>MAX(I119*1000/'Calculation Constants'!$B$14,O119*10*I119*1000/2/('Calculation Constants'!$B$12*1000*'Calculation Constants'!$B$13))</f>
        <v>12.5</v>
      </c>
      <c r="Q119" s="68">
        <f t="shared" si="30"/>
        <v>1225368.3970556525</v>
      </c>
      <c r="R119" s="27">
        <f>(1/(2*LOG(3.7*$I119/'Calculation Constants'!$B$2*1000)))^2</f>
        <v>8.5984950812375404E-3</v>
      </c>
      <c r="S119" s="19">
        <f t="shared" si="42"/>
        <v>0.74029497268187827</v>
      </c>
      <c r="T119" s="19">
        <f>IF($H119&gt;0,'Calculation Constants'!$B$9*Hydraulics!$K119^2/2/9.81/MAX($F$4:$F$253)*$H119,"")</f>
        <v>5.1657526045266834E-2</v>
      </c>
      <c r="U119" s="19">
        <f t="shared" si="43"/>
        <v>0.79195249872714513</v>
      </c>
      <c r="V119" s="19">
        <f t="shared" si="31"/>
        <v>0</v>
      </c>
      <c r="W119" s="19">
        <f t="shared" si="32"/>
        <v>127.35409500254559</v>
      </c>
      <c r="X119" s="23">
        <f t="shared" si="44"/>
        <v>1041.9000950025456</v>
      </c>
      <c r="Y119" s="22">
        <f>(1/(2*LOG(3.7*$I119/'Calculation Constants'!$B$3*1000)))^2</f>
        <v>9.645396509476439E-3</v>
      </c>
      <c r="Z119" s="19">
        <f t="shared" si="33"/>
        <v>0.83042886900867496</v>
      </c>
      <c r="AA119" s="19">
        <f>IF($H119&gt;0,'Calculation Constants'!$B$9*Hydraulics!$K119^2/2/9.81/MAX($F$4:$F$253)*$H119,"")</f>
        <v>5.1657526045266834E-2</v>
      </c>
      <c r="AB119" s="19">
        <f t="shared" si="55"/>
        <v>0.88208639505394182</v>
      </c>
      <c r="AC119" s="19">
        <f t="shared" si="34"/>
        <v>0</v>
      </c>
      <c r="AD119" s="19">
        <f t="shared" si="45"/>
        <v>127.17382720989212</v>
      </c>
      <c r="AE119" s="23">
        <f t="shared" si="46"/>
        <v>1041.7198272098922</v>
      </c>
      <c r="AF119" s="27">
        <f>(1/(2*LOG(3.7*$I119/'Calculation Constants'!$B$4*1000)))^2</f>
        <v>1.1350445400368435E-2</v>
      </c>
      <c r="AG119" s="19">
        <f t="shared" si="35"/>
        <v>0.97722654815818577</v>
      </c>
      <c r="AH119" s="19">
        <f>IF($H119&gt;0,'Calculation Constants'!$B$9*Hydraulics!$K119^2/2/9.81/MAX($F$4:$F$253)*$H119,"")</f>
        <v>5.1657526045266834E-2</v>
      </c>
      <c r="AI119" s="19">
        <f t="shared" si="47"/>
        <v>1.0288840742034526</v>
      </c>
      <c r="AJ119" s="19">
        <f t="shared" si="36"/>
        <v>0</v>
      </c>
      <c r="AK119" s="19">
        <f t="shared" si="48"/>
        <v>126.88023185159295</v>
      </c>
      <c r="AL119" s="23">
        <f t="shared" si="49"/>
        <v>1041.426231851593</v>
      </c>
      <c r="AM119" s="22">
        <f>(1/(2*LOG(3.7*($I119-0.008)/'Calculation Constants'!$B$5*1000)))^2</f>
        <v>1.4387191027645335E-2</v>
      </c>
      <c r="AN119" s="19">
        <f t="shared" si="50"/>
        <v>1.243652435121851</v>
      </c>
      <c r="AO119" s="19">
        <f>IF($H119&gt;0,'Calculation Constants'!$B$9*Hydraulics!$K119^2/2/9.81/MAX($F$4:$F$253)*$H119,"")</f>
        <v>5.1657526045266834E-2</v>
      </c>
      <c r="AP119" s="19">
        <f t="shared" si="51"/>
        <v>1.2953099611671177</v>
      </c>
      <c r="AQ119" s="19">
        <f t="shared" si="37"/>
        <v>0</v>
      </c>
      <c r="AR119" s="19">
        <f t="shared" si="52"/>
        <v>126.34738007766578</v>
      </c>
      <c r="AS119" s="23">
        <f t="shared" si="53"/>
        <v>1040.8933800776658</v>
      </c>
    </row>
    <row r="120" spans="5:45">
      <c r="E120" s="35" t="str">
        <f t="shared" si="38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4"/>
        <v>2</v>
      </c>
      <c r="I120" s="19">
        <v>2</v>
      </c>
      <c r="J120" s="36">
        <f>'Flow Rate Calculations'!$B$7</f>
        <v>4.0831050228310497</v>
      </c>
      <c r="K120" s="36">
        <f t="shared" si="39"/>
        <v>1.2996926950938155</v>
      </c>
      <c r="L120" s="37">
        <f>$I120*$K120/'Calculation Constants'!$B$7</f>
        <v>2300341.0532633904</v>
      </c>
      <c r="M120" s="37" t="str">
        <f t="shared" si="40"/>
        <v>Greater Dynamic Pressures</v>
      </c>
      <c r="N120" s="23">
        <f t="shared" si="41"/>
        <v>122.82314250381853</v>
      </c>
      <c r="O120" s="57">
        <f t="shared" si="29"/>
        <v>122.55274081483833</v>
      </c>
      <c r="P120" s="66">
        <f>MAX(I120*1000/'Calculation Constants'!$B$14,O120*10*I120*1000/2/('Calculation Constants'!$B$12*1000*'Calculation Constants'!$B$13))</f>
        <v>12.5</v>
      </c>
      <c r="Q120" s="68">
        <f t="shared" si="30"/>
        <v>1225368.3970556525</v>
      </c>
      <c r="R120" s="27">
        <f>(1/(2*LOG(3.7*$I120/'Calculation Constants'!$B$2*1000)))^2</f>
        <v>8.5984950812375404E-3</v>
      </c>
      <c r="S120" s="19">
        <f t="shared" si="42"/>
        <v>0.74029497268187827</v>
      </c>
      <c r="T120" s="19">
        <f>IF($H120&gt;0,'Calculation Constants'!$B$9*Hydraulics!$K120^2/2/9.81/MAX($F$4:$F$253)*$H120,"")</f>
        <v>5.1657526045266834E-2</v>
      </c>
      <c r="U120" s="19">
        <f t="shared" si="43"/>
        <v>0.79195249872714513</v>
      </c>
      <c r="V120" s="19">
        <f t="shared" si="31"/>
        <v>0</v>
      </c>
      <c r="W120" s="19">
        <f t="shared" si="32"/>
        <v>122.82314250381853</v>
      </c>
      <c r="X120" s="23">
        <f t="shared" si="44"/>
        <v>1041.1081425038185</v>
      </c>
      <c r="Y120" s="22">
        <f>(1/(2*LOG(3.7*$I120/'Calculation Constants'!$B$3*1000)))^2</f>
        <v>9.645396509476439E-3</v>
      </c>
      <c r="Z120" s="19">
        <f t="shared" si="33"/>
        <v>0.83042886900867496</v>
      </c>
      <c r="AA120" s="19">
        <f>IF($H120&gt;0,'Calculation Constants'!$B$9*Hydraulics!$K120^2/2/9.81/MAX($F$4:$F$253)*$H120,"")</f>
        <v>5.1657526045266834E-2</v>
      </c>
      <c r="AB120" s="19">
        <f t="shared" si="55"/>
        <v>0.88208639505394182</v>
      </c>
      <c r="AC120" s="19">
        <f t="shared" si="34"/>
        <v>0</v>
      </c>
      <c r="AD120" s="19">
        <f t="shared" si="45"/>
        <v>122.55274081483833</v>
      </c>
      <c r="AE120" s="23">
        <f t="shared" si="46"/>
        <v>1040.8377408148383</v>
      </c>
      <c r="AF120" s="27">
        <f>(1/(2*LOG(3.7*$I120/'Calculation Constants'!$B$4*1000)))^2</f>
        <v>1.1350445400368435E-2</v>
      </c>
      <c r="AG120" s="19">
        <f t="shared" si="35"/>
        <v>0.97722654815818577</v>
      </c>
      <c r="AH120" s="19">
        <f>IF($H120&gt;0,'Calculation Constants'!$B$9*Hydraulics!$K120^2/2/9.81/MAX($F$4:$F$253)*$H120,"")</f>
        <v>5.1657526045266834E-2</v>
      </c>
      <c r="AI120" s="19">
        <f t="shared" si="47"/>
        <v>1.0288840742034526</v>
      </c>
      <c r="AJ120" s="19">
        <f t="shared" si="36"/>
        <v>0</v>
      </c>
      <c r="AK120" s="19">
        <f t="shared" si="48"/>
        <v>122.11234777738957</v>
      </c>
      <c r="AL120" s="23">
        <f t="shared" si="49"/>
        <v>1040.3973477773895</v>
      </c>
      <c r="AM120" s="22">
        <f>(1/(2*LOG(3.7*($I120-0.008)/'Calculation Constants'!$B$5*1000)))^2</f>
        <v>1.4387191027645335E-2</v>
      </c>
      <c r="AN120" s="19">
        <f t="shared" si="50"/>
        <v>1.243652435121851</v>
      </c>
      <c r="AO120" s="19">
        <f>IF($H120&gt;0,'Calculation Constants'!$B$9*Hydraulics!$K120^2/2/9.81/MAX($F$4:$F$253)*$H120,"")</f>
        <v>5.1657526045266834E-2</v>
      </c>
      <c r="AP120" s="19">
        <f t="shared" si="51"/>
        <v>1.2953099611671177</v>
      </c>
      <c r="AQ120" s="19">
        <f t="shared" si="37"/>
        <v>0</v>
      </c>
      <c r="AR120" s="19">
        <f t="shared" si="52"/>
        <v>121.31307011649881</v>
      </c>
      <c r="AS120" s="23">
        <f t="shared" si="53"/>
        <v>1039.5980701164988</v>
      </c>
    </row>
    <row r="121" spans="5:45">
      <c r="E121" s="35" t="str">
        <f t="shared" si="38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4"/>
        <v>2</v>
      </c>
      <c r="I121" s="19">
        <v>2</v>
      </c>
      <c r="J121" s="36">
        <f>'Flow Rate Calculations'!$B$7</f>
        <v>4.0831050228310497</v>
      </c>
      <c r="K121" s="36">
        <f t="shared" si="39"/>
        <v>1.2996926950938155</v>
      </c>
      <c r="L121" s="37">
        <f>$I121*$K121/'Calculation Constants'!$B$7</f>
        <v>2300341.0532633904</v>
      </c>
      <c r="M121" s="37" t="str">
        <f t="shared" si="40"/>
        <v>Greater Dynamic Pressures</v>
      </c>
      <c r="N121" s="23">
        <f t="shared" si="41"/>
        <v>120.95919000509139</v>
      </c>
      <c r="O121" s="57">
        <f t="shared" si="29"/>
        <v>120.59865441978445</v>
      </c>
      <c r="P121" s="66">
        <f>MAX(I121*1000/'Calculation Constants'!$B$14,O121*10*I121*1000/2/('Calculation Constants'!$B$12*1000*'Calculation Constants'!$B$13))</f>
        <v>12.5</v>
      </c>
      <c r="Q121" s="68">
        <f t="shared" si="30"/>
        <v>1225368.3970556525</v>
      </c>
      <c r="R121" s="27">
        <f>(1/(2*LOG(3.7*$I121/'Calculation Constants'!$B$2*1000)))^2</f>
        <v>8.5984950812375404E-3</v>
      </c>
      <c r="S121" s="19">
        <f t="shared" si="42"/>
        <v>0.74029497268187827</v>
      </c>
      <c r="T121" s="19">
        <f>IF($H121&gt;0,'Calculation Constants'!$B$9*Hydraulics!$K121^2/2/9.81/MAX($F$4:$F$253)*$H121,"")</f>
        <v>5.1657526045266834E-2</v>
      </c>
      <c r="U121" s="19">
        <f t="shared" si="43"/>
        <v>0.79195249872714513</v>
      </c>
      <c r="V121" s="19">
        <f t="shared" si="31"/>
        <v>0</v>
      </c>
      <c r="W121" s="19">
        <f t="shared" si="32"/>
        <v>120.95919000509139</v>
      </c>
      <c r="X121" s="23">
        <f t="shared" si="44"/>
        <v>1040.3161900050914</v>
      </c>
      <c r="Y121" s="22">
        <f>(1/(2*LOG(3.7*$I121/'Calculation Constants'!$B$3*1000)))^2</f>
        <v>9.645396509476439E-3</v>
      </c>
      <c r="Z121" s="19">
        <f t="shared" si="33"/>
        <v>0.83042886900867496</v>
      </c>
      <c r="AA121" s="19">
        <f>IF($H121&gt;0,'Calculation Constants'!$B$9*Hydraulics!$K121^2/2/9.81/MAX($F$4:$F$253)*$H121,"")</f>
        <v>5.1657526045266834E-2</v>
      </c>
      <c r="AB121" s="19">
        <f t="shared" si="55"/>
        <v>0.88208639505394182</v>
      </c>
      <c r="AC121" s="19">
        <f t="shared" si="34"/>
        <v>0</v>
      </c>
      <c r="AD121" s="19">
        <f t="shared" si="45"/>
        <v>120.59865441978445</v>
      </c>
      <c r="AE121" s="23">
        <f t="shared" si="46"/>
        <v>1039.9556544197844</v>
      </c>
      <c r="AF121" s="27">
        <f>(1/(2*LOG(3.7*$I121/'Calculation Constants'!$B$4*1000)))^2</f>
        <v>1.1350445400368435E-2</v>
      </c>
      <c r="AG121" s="19">
        <f t="shared" si="35"/>
        <v>0.97722654815818577</v>
      </c>
      <c r="AH121" s="19">
        <f>IF($H121&gt;0,'Calculation Constants'!$B$9*Hydraulics!$K121^2/2/9.81/MAX($F$4:$F$253)*$H121,"")</f>
        <v>5.1657526045266834E-2</v>
      </c>
      <c r="AI121" s="19">
        <f t="shared" si="47"/>
        <v>1.0288840742034526</v>
      </c>
      <c r="AJ121" s="19">
        <f t="shared" si="36"/>
        <v>0</v>
      </c>
      <c r="AK121" s="19">
        <f t="shared" si="48"/>
        <v>120.01146370318611</v>
      </c>
      <c r="AL121" s="23">
        <f t="shared" si="49"/>
        <v>1039.3684637031861</v>
      </c>
      <c r="AM121" s="22">
        <f>(1/(2*LOG(3.7*($I121-0.008)/'Calculation Constants'!$B$5*1000)))^2</f>
        <v>1.4387191027645335E-2</v>
      </c>
      <c r="AN121" s="19">
        <f t="shared" si="50"/>
        <v>1.243652435121851</v>
      </c>
      <c r="AO121" s="19">
        <f>IF($H121&gt;0,'Calculation Constants'!$B$9*Hydraulics!$K121^2/2/9.81/MAX($F$4:$F$253)*$H121,"")</f>
        <v>5.1657526045266834E-2</v>
      </c>
      <c r="AP121" s="19">
        <f t="shared" si="51"/>
        <v>1.2953099611671177</v>
      </c>
      <c r="AQ121" s="19">
        <f t="shared" si="37"/>
        <v>0</v>
      </c>
      <c r="AR121" s="19">
        <f t="shared" si="52"/>
        <v>118.94576015533175</v>
      </c>
      <c r="AS121" s="23">
        <f t="shared" si="53"/>
        <v>1038.3027601553317</v>
      </c>
    </row>
    <row r="122" spans="5:45">
      <c r="E122" s="35" t="str">
        <f t="shared" si="38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4"/>
        <v>2</v>
      </c>
      <c r="I122" s="19">
        <v>2</v>
      </c>
      <c r="J122" s="36">
        <f>'Flow Rate Calculations'!$B$7</f>
        <v>4.0831050228310497</v>
      </c>
      <c r="K122" s="36">
        <f t="shared" si="39"/>
        <v>1.2996926950938155</v>
      </c>
      <c r="L122" s="37">
        <f>$I122*$K122/'Calculation Constants'!$B$7</f>
        <v>2300341.0532633904</v>
      </c>
      <c r="M122" s="37" t="str">
        <f t="shared" si="40"/>
        <v>Greater Dynamic Pressures</v>
      </c>
      <c r="N122" s="23">
        <f t="shared" si="41"/>
        <v>120.87523750636421</v>
      </c>
      <c r="O122" s="57">
        <f t="shared" si="29"/>
        <v>120.42456802473055</v>
      </c>
      <c r="P122" s="66">
        <f>MAX(I122*1000/'Calculation Constants'!$B$14,O122*10*I122*1000/2/('Calculation Constants'!$B$12*1000*'Calculation Constants'!$B$13))</f>
        <v>12.5</v>
      </c>
      <c r="Q122" s="68">
        <f t="shared" si="30"/>
        <v>1225368.3970556525</v>
      </c>
      <c r="R122" s="27">
        <f>(1/(2*LOG(3.7*$I122/'Calculation Constants'!$B$2*1000)))^2</f>
        <v>8.5984950812375404E-3</v>
      </c>
      <c r="S122" s="19">
        <f t="shared" si="42"/>
        <v>0.74029497268187827</v>
      </c>
      <c r="T122" s="19">
        <f>IF($H122&gt;0,'Calculation Constants'!$B$9*Hydraulics!$K122^2/2/9.81/MAX($F$4:$F$253)*$H122,"")</f>
        <v>5.1657526045266834E-2</v>
      </c>
      <c r="U122" s="19">
        <f t="shared" si="43"/>
        <v>0.79195249872714513</v>
      </c>
      <c r="V122" s="19">
        <f t="shared" si="31"/>
        <v>0</v>
      </c>
      <c r="W122" s="19">
        <f t="shared" si="32"/>
        <v>120.87523750636421</v>
      </c>
      <c r="X122" s="23">
        <f t="shared" si="44"/>
        <v>1039.5242375063642</v>
      </c>
      <c r="Y122" s="22">
        <f>(1/(2*LOG(3.7*$I122/'Calculation Constants'!$B$3*1000)))^2</f>
        <v>9.645396509476439E-3</v>
      </c>
      <c r="Z122" s="19">
        <f t="shared" si="33"/>
        <v>0.83042886900867496</v>
      </c>
      <c r="AA122" s="19">
        <f>IF($H122&gt;0,'Calculation Constants'!$B$9*Hydraulics!$K122^2/2/9.81/MAX($F$4:$F$253)*$H122,"")</f>
        <v>5.1657526045266834E-2</v>
      </c>
      <c r="AB122" s="19">
        <f t="shared" si="55"/>
        <v>0.88208639505394182</v>
      </c>
      <c r="AC122" s="19">
        <f t="shared" si="34"/>
        <v>0</v>
      </c>
      <c r="AD122" s="19">
        <f t="shared" si="45"/>
        <v>120.42456802473055</v>
      </c>
      <c r="AE122" s="23">
        <f t="shared" si="46"/>
        <v>1039.0735680247305</v>
      </c>
      <c r="AF122" s="27">
        <f>(1/(2*LOG(3.7*$I122/'Calculation Constants'!$B$4*1000)))^2</f>
        <v>1.1350445400368435E-2</v>
      </c>
      <c r="AG122" s="19">
        <f t="shared" si="35"/>
        <v>0.97722654815818577</v>
      </c>
      <c r="AH122" s="19">
        <f>IF($H122&gt;0,'Calculation Constants'!$B$9*Hydraulics!$K122^2/2/9.81/MAX($F$4:$F$253)*$H122,"")</f>
        <v>5.1657526045266834E-2</v>
      </c>
      <c r="AI122" s="19">
        <f t="shared" si="47"/>
        <v>1.0288840742034526</v>
      </c>
      <c r="AJ122" s="19">
        <f t="shared" si="36"/>
        <v>0</v>
      </c>
      <c r="AK122" s="19">
        <f t="shared" si="48"/>
        <v>119.69057962898262</v>
      </c>
      <c r="AL122" s="23">
        <f t="shared" si="49"/>
        <v>1038.3395796289826</v>
      </c>
      <c r="AM122" s="22">
        <f>(1/(2*LOG(3.7*($I122-0.008)/'Calculation Constants'!$B$5*1000)))^2</f>
        <v>1.4387191027645335E-2</v>
      </c>
      <c r="AN122" s="19">
        <f t="shared" si="50"/>
        <v>1.243652435121851</v>
      </c>
      <c r="AO122" s="19">
        <f>IF($H122&gt;0,'Calculation Constants'!$B$9*Hydraulics!$K122^2/2/9.81/MAX($F$4:$F$253)*$H122,"")</f>
        <v>5.1657526045266834E-2</v>
      </c>
      <c r="AP122" s="19">
        <f t="shared" si="51"/>
        <v>1.2953099611671177</v>
      </c>
      <c r="AQ122" s="19">
        <f t="shared" si="37"/>
        <v>0</v>
      </c>
      <c r="AR122" s="19">
        <f t="shared" si="52"/>
        <v>118.35845019416467</v>
      </c>
      <c r="AS122" s="23">
        <f t="shared" si="53"/>
        <v>1037.0074501941647</v>
      </c>
    </row>
    <row r="123" spans="5:45">
      <c r="E123" s="35" t="str">
        <f t="shared" si="38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4"/>
        <v>2</v>
      </c>
      <c r="I123" s="19">
        <v>2</v>
      </c>
      <c r="J123" s="36">
        <f>'Flow Rate Calculations'!$B$7</f>
        <v>4.0831050228310497</v>
      </c>
      <c r="K123" s="36">
        <f t="shared" si="39"/>
        <v>1.2996926950938155</v>
      </c>
      <c r="L123" s="37">
        <f>$I123*$K123/'Calculation Constants'!$B$7</f>
        <v>2300341.0532633904</v>
      </c>
      <c r="M123" s="37" t="str">
        <f t="shared" si="40"/>
        <v>Greater Dynamic Pressures</v>
      </c>
      <c r="N123" s="23">
        <f t="shared" si="41"/>
        <v>115.75828500763703</v>
      </c>
      <c r="O123" s="57">
        <f t="shared" si="29"/>
        <v>115.21748162967663</v>
      </c>
      <c r="P123" s="66">
        <f>MAX(I123*1000/'Calculation Constants'!$B$14,O123*10*I123*1000/2/('Calculation Constants'!$B$12*1000*'Calculation Constants'!$B$13))</f>
        <v>12.5</v>
      </c>
      <c r="Q123" s="68">
        <f t="shared" si="30"/>
        <v>1225368.3970556525</v>
      </c>
      <c r="R123" s="27">
        <f>(1/(2*LOG(3.7*$I123/'Calculation Constants'!$B$2*1000)))^2</f>
        <v>8.5984950812375404E-3</v>
      </c>
      <c r="S123" s="19">
        <f t="shared" si="42"/>
        <v>0.74029497268187827</v>
      </c>
      <c r="T123" s="19">
        <f>IF($H123&gt;0,'Calculation Constants'!$B$9*Hydraulics!$K123^2/2/9.81/MAX($F$4:$F$253)*$H123,"")</f>
        <v>5.1657526045266834E-2</v>
      </c>
      <c r="U123" s="19">
        <f t="shared" si="43"/>
        <v>0.79195249872714513</v>
      </c>
      <c r="V123" s="19">
        <f t="shared" si="31"/>
        <v>0</v>
      </c>
      <c r="W123" s="19">
        <f t="shared" si="32"/>
        <v>115.75828500763703</v>
      </c>
      <c r="X123" s="23">
        <f t="shared" si="44"/>
        <v>1038.7322850076371</v>
      </c>
      <c r="Y123" s="22">
        <f>(1/(2*LOG(3.7*$I123/'Calculation Constants'!$B$3*1000)))^2</f>
        <v>9.645396509476439E-3</v>
      </c>
      <c r="Z123" s="19">
        <f t="shared" si="33"/>
        <v>0.83042886900867496</v>
      </c>
      <c r="AA123" s="19">
        <f>IF($H123&gt;0,'Calculation Constants'!$B$9*Hydraulics!$K123^2/2/9.81/MAX($F$4:$F$253)*$H123,"")</f>
        <v>5.1657526045266834E-2</v>
      </c>
      <c r="AB123" s="19">
        <f t="shared" si="55"/>
        <v>0.88208639505394182</v>
      </c>
      <c r="AC123" s="19">
        <f t="shared" si="34"/>
        <v>0</v>
      </c>
      <c r="AD123" s="19">
        <f t="shared" si="45"/>
        <v>115.21748162967663</v>
      </c>
      <c r="AE123" s="23">
        <f t="shared" si="46"/>
        <v>1038.1914816296767</v>
      </c>
      <c r="AF123" s="27">
        <f>(1/(2*LOG(3.7*$I123/'Calculation Constants'!$B$4*1000)))^2</f>
        <v>1.1350445400368435E-2</v>
      </c>
      <c r="AG123" s="19">
        <f t="shared" si="35"/>
        <v>0.97722654815818577</v>
      </c>
      <c r="AH123" s="19">
        <f>IF($H123&gt;0,'Calculation Constants'!$B$9*Hydraulics!$K123^2/2/9.81/MAX($F$4:$F$253)*$H123,"")</f>
        <v>5.1657526045266834E-2</v>
      </c>
      <c r="AI123" s="19">
        <f t="shared" si="47"/>
        <v>1.0288840742034526</v>
      </c>
      <c r="AJ123" s="19">
        <f t="shared" si="36"/>
        <v>0</v>
      </c>
      <c r="AK123" s="19">
        <f t="shared" si="48"/>
        <v>114.33669555477911</v>
      </c>
      <c r="AL123" s="23">
        <f t="shared" si="49"/>
        <v>1037.3106955547792</v>
      </c>
      <c r="AM123" s="22">
        <f>(1/(2*LOG(3.7*($I123-0.008)/'Calculation Constants'!$B$5*1000)))^2</f>
        <v>1.4387191027645335E-2</v>
      </c>
      <c r="AN123" s="19">
        <f t="shared" si="50"/>
        <v>1.243652435121851</v>
      </c>
      <c r="AO123" s="19">
        <f>IF($H123&gt;0,'Calculation Constants'!$B$9*Hydraulics!$K123^2/2/9.81/MAX($F$4:$F$253)*$H123,"")</f>
        <v>5.1657526045266834E-2</v>
      </c>
      <c r="AP123" s="19">
        <f t="shared" si="51"/>
        <v>1.2953099611671177</v>
      </c>
      <c r="AQ123" s="19">
        <f t="shared" si="37"/>
        <v>0</v>
      </c>
      <c r="AR123" s="19">
        <f t="shared" si="52"/>
        <v>112.73814023299758</v>
      </c>
      <c r="AS123" s="23">
        <f t="shared" si="53"/>
        <v>1035.7121402329976</v>
      </c>
    </row>
    <row r="124" spans="5:45">
      <c r="E124" s="35" t="str">
        <f t="shared" si="38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4"/>
        <v>2</v>
      </c>
      <c r="I124" s="19">
        <v>2</v>
      </c>
      <c r="J124" s="36">
        <f>'Flow Rate Calculations'!$B$7</f>
        <v>4.0831050228310497</v>
      </c>
      <c r="K124" s="36">
        <f t="shared" si="39"/>
        <v>1.2996926950938155</v>
      </c>
      <c r="L124" s="37">
        <f>$I124*$K124/'Calculation Constants'!$B$7</f>
        <v>2300341.0532633904</v>
      </c>
      <c r="M124" s="37" t="str">
        <f t="shared" si="40"/>
        <v>Greater Dynamic Pressures</v>
      </c>
      <c r="N124" s="23">
        <f t="shared" si="41"/>
        <v>110.56533250890993</v>
      </c>
      <c r="O124" s="57">
        <f t="shared" si="29"/>
        <v>109.9343952346228</v>
      </c>
      <c r="P124" s="66">
        <f>MAX(I124*1000/'Calculation Constants'!$B$14,O124*10*I124*1000/2/('Calculation Constants'!$B$12*1000*'Calculation Constants'!$B$13))</f>
        <v>12.5</v>
      </c>
      <c r="Q124" s="68">
        <f t="shared" si="30"/>
        <v>1225368.3970556525</v>
      </c>
      <c r="R124" s="27">
        <f>(1/(2*LOG(3.7*$I124/'Calculation Constants'!$B$2*1000)))^2</f>
        <v>8.5984950812375404E-3</v>
      </c>
      <c r="S124" s="19">
        <f t="shared" si="42"/>
        <v>0.74029497268187827</v>
      </c>
      <c r="T124" s="19">
        <f>IF($H124&gt;0,'Calculation Constants'!$B$9*Hydraulics!$K124^2/2/9.81/MAX($F$4:$F$253)*$H124,"")</f>
        <v>5.1657526045266834E-2</v>
      </c>
      <c r="U124" s="19">
        <f t="shared" si="43"/>
        <v>0.79195249872714513</v>
      </c>
      <c r="V124" s="19">
        <f t="shared" si="31"/>
        <v>0</v>
      </c>
      <c r="W124" s="19">
        <f t="shared" si="32"/>
        <v>110.56533250890993</v>
      </c>
      <c r="X124" s="23">
        <f t="shared" si="44"/>
        <v>1037.9403325089099</v>
      </c>
      <c r="Y124" s="22">
        <f>(1/(2*LOG(3.7*$I124/'Calculation Constants'!$B$3*1000)))^2</f>
        <v>9.645396509476439E-3</v>
      </c>
      <c r="Z124" s="19">
        <f t="shared" si="33"/>
        <v>0.83042886900867496</v>
      </c>
      <c r="AA124" s="19">
        <f>IF($H124&gt;0,'Calculation Constants'!$B$9*Hydraulics!$K124^2/2/9.81/MAX($F$4:$F$253)*$H124,"")</f>
        <v>5.1657526045266834E-2</v>
      </c>
      <c r="AB124" s="19">
        <f t="shared" si="55"/>
        <v>0.88208639505394182</v>
      </c>
      <c r="AC124" s="19">
        <f t="shared" si="34"/>
        <v>0</v>
      </c>
      <c r="AD124" s="19">
        <f t="shared" si="45"/>
        <v>109.9343952346228</v>
      </c>
      <c r="AE124" s="23">
        <f t="shared" si="46"/>
        <v>1037.3093952346228</v>
      </c>
      <c r="AF124" s="27">
        <f>(1/(2*LOG(3.7*$I124/'Calculation Constants'!$B$4*1000)))^2</f>
        <v>1.1350445400368435E-2</v>
      </c>
      <c r="AG124" s="19">
        <f t="shared" si="35"/>
        <v>0.97722654815818577</v>
      </c>
      <c r="AH124" s="19">
        <f>IF($H124&gt;0,'Calculation Constants'!$B$9*Hydraulics!$K124^2/2/9.81/MAX($F$4:$F$253)*$H124,"")</f>
        <v>5.1657526045266834E-2</v>
      </c>
      <c r="AI124" s="19">
        <f t="shared" si="47"/>
        <v>1.0288840742034526</v>
      </c>
      <c r="AJ124" s="19">
        <f t="shared" si="36"/>
        <v>0</v>
      </c>
      <c r="AK124" s="19">
        <f t="shared" si="48"/>
        <v>108.9068114805757</v>
      </c>
      <c r="AL124" s="23">
        <f t="shared" si="49"/>
        <v>1036.2818114805757</v>
      </c>
      <c r="AM124" s="22">
        <f>(1/(2*LOG(3.7*($I124-0.008)/'Calculation Constants'!$B$5*1000)))^2</f>
        <v>1.4387191027645335E-2</v>
      </c>
      <c r="AN124" s="19">
        <f t="shared" si="50"/>
        <v>1.243652435121851</v>
      </c>
      <c r="AO124" s="19">
        <f>IF($H124&gt;0,'Calculation Constants'!$B$9*Hydraulics!$K124^2/2/9.81/MAX($F$4:$F$253)*$H124,"")</f>
        <v>5.1657526045266834E-2</v>
      </c>
      <c r="AP124" s="19">
        <f t="shared" si="51"/>
        <v>1.2953099611671177</v>
      </c>
      <c r="AQ124" s="19">
        <f t="shared" si="37"/>
        <v>0</v>
      </c>
      <c r="AR124" s="19">
        <f t="shared" si="52"/>
        <v>107.04183027183058</v>
      </c>
      <c r="AS124" s="23">
        <f t="shared" si="53"/>
        <v>1034.4168302718306</v>
      </c>
    </row>
    <row r="125" spans="5:45">
      <c r="E125" s="35" t="str">
        <f t="shared" si="38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4"/>
        <v>2</v>
      </c>
      <c r="I125" s="19">
        <v>2</v>
      </c>
      <c r="J125" s="36">
        <f>'Flow Rate Calculations'!$B$7</f>
        <v>4.0831050228310497</v>
      </c>
      <c r="K125" s="36">
        <f t="shared" si="39"/>
        <v>1.2996926950938155</v>
      </c>
      <c r="L125" s="37">
        <f>$I125*$K125/'Calculation Constants'!$B$7</f>
        <v>2300341.0532633904</v>
      </c>
      <c r="M125" s="37" t="str">
        <f t="shared" si="40"/>
        <v>Greater Dynamic Pressures</v>
      </c>
      <c r="N125" s="23">
        <f t="shared" si="41"/>
        <v>107.89538001018275</v>
      </c>
      <c r="O125" s="57">
        <f t="shared" si="29"/>
        <v>107.17430883956888</v>
      </c>
      <c r="P125" s="66">
        <f>MAX(I125*1000/'Calculation Constants'!$B$14,O125*10*I125*1000/2/('Calculation Constants'!$B$12*1000*'Calculation Constants'!$B$13))</f>
        <v>12.5</v>
      </c>
      <c r="Q125" s="68">
        <f t="shared" si="30"/>
        <v>1225368.3970556525</v>
      </c>
      <c r="R125" s="27">
        <f>(1/(2*LOG(3.7*$I125/'Calculation Constants'!$B$2*1000)))^2</f>
        <v>8.5984950812375404E-3</v>
      </c>
      <c r="S125" s="19">
        <f t="shared" si="42"/>
        <v>0.74029497268187827</v>
      </c>
      <c r="T125" s="19">
        <f>IF($H125&gt;0,'Calculation Constants'!$B$9*Hydraulics!$K125^2/2/9.81/MAX($F$4:$F$253)*$H125,"")</f>
        <v>5.1657526045266834E-2</v>
      </c>
      <c r="U125" s="19">
        <f t="shared" si="43"/>
        <v>0.79195249872714513</v>
      </c>
      <c r="V125" s="19">
        <f t="shared" si="31"/>
        <v>0</v>
      </c>
      <c r="W125" s="19">
        <f t="shared" si="32"/>
        <v>107.89538001018275</v>
      </c>
      <c r="X125" s="23">
        <f t="shared" si="44"/>
        <v>1037.1483800101828</v>
      </c>
      <c r="Y125" s="22">
        <f>(1/(2*LOG(3.7*$I125/'Calculation Constants'!$B$3*1000)))^2</f>
        <v>9.645396509476439E-3</v>
      </c>
      <c r="Z125" s="19">
        <f t="shared" si="33"/>
        <v>0.83042886900867496</v>
      </c>
      <c r="AA125" s="19">
        <f>IF($H125&gt;0,'Calculation Constants'!$B$9*Hydraulics!$K125^2/2/9.81/MAX($F$4:$F$253)*$H125,"")</f>
        <v>5.1657526045266834E-2</v>
      </c>
      <c r="AB125" s="19">
        <f t="shared" si="55"/>
        <v>0.88208639505394182</v>
      </c>
      <c r="AC125" s="19">
        <f t="shared" si="34"/>
        <v>0</v>
      </c>
      <c r="AD125" s="19">
        <f t="shared" si="45"/>
        <v>107.17430883956888</v>
      </c>
      <c r="AE125" s="23">
        <f t="shared" si="46"/>
        <v>1036.4273088395689</v>
      </c>
      <c r="AF125" s="27">
        <f>(1/(2*LOG(3.7*$I125/'Calculation Constants'!$B$4*1000)))^2</f>
        <v>1.1350445400368435E-2</v>
      </c>
      <c r="AG125" s="19">
        <f t="shared" si="35"/>
        <v>0.97722654815818577</v>
      </c>
      <c r="AH125" s="19">
        <f>IF($H125&gt;0,'Calculation Constants'!$B$9*Hydraulics!$K125^2/2/9.81/MAX($F$4:$F$253)*$H125,"")</f>
        <v>5.1657526045266834E-2</v>
      </c>
      <c r="AI125" s="19">
        <f t="shared" si="47"/>
        <v>1.0288840742034526</v>
      </c>
      <c r="AJ125" s="19">
        <f t="shared" si="36"/>
        <v>0</v>
      </c>
      <c r="AK125" s="19">
        <f t="shared" si="48"/>
        <v>105.99992740637219</v>
      </c>
      <c r="AL125" s="23">
        <f t="shared" si="49"/>
        <v>1035.2529274063722</v>
      </c>
      <c r="AM125" s="22">
        <f>(1/(2*LOG(3.7*($I125-0.008)/'Calculation Constants'!$B$5*1000)))^2</f>
        <v>1.4387191027645335E-2</v>
      </c>
      <c r="AN125" s="19">
        <f t="shared" si="50"/>
        <v>1.243652435121851</v>
      </c>
      <c r="AO125" s="19">
        <f>IF($H125&gt;0,'Calculation Constants'!$B$9*Hydraulics!$K125^2/2/9.81/MAX($F$4:$F$253)*$H125,"")</f>
        <v>5.1657526045266834E-2</v>
      </c>
      <c r="AP125" s="19">
        <f t="shared" si="51"/>
        <v>1.2953099611671177</v>
      </c>
      <c r="AQ125" s="19">
        <f t="shared" si="37"/>
        <v>0</v>
      </c>
      <c r="AR125" s="19">
        <f t="shared" si="52"/>
        <v>103.86852031066348</v>
      </c>
      <c r="AS125" s="23">
        <f t="shared" si="53"/>
        <v>1033.1215203106635</v>
      </c>
    </row>
    <row r="126" spans="5:45">
      <c r="E126" s="35" t="str">
        <f t="shared" si="38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4"/>
        <v>2</v>
      </c>
      <c r="I126" s="19">
        <v>2</v>
      </c>
      <c r="J126" s="36">
        <f>'Flow Rate Calculations'!$B$7</f>
        <v>4.0831050228310497</v>
      </c>
      <c r="K126" s="36">
        <f t="shared" si="39"/>
        <v>1.2996926950938155</v>
      </c>
      <c r="L126" s="37">
        <f>$I126*$K126/'Calculation Constants'!$B$7</f>
        <v>2300341.0532633904</v>
      </c>
      <c r="M126" s="37" t="str">
        <f t="shared" si="40"/>
        <v>Greater Dynamic Pressures</v>
      </c>
      <c r="N126" s="23">
        <f t="shared" si="41"/>
        <v>105.49342751145559</v>
      </c>
      <c r="O126" s="57">
        <f t="shared" si="29"/>
        <v>104.68222244451499</v>
      </c>
      <c r="P126" s="66">
        <f>MAX(I126*1000/'Calculation Constants'!$B$14,O126*10*I126*1000/2/('Calculation Constants'!$B$12*1000*'Calculation Constants'!$B$13))</f>
        <v>12.5</v>
      </c>
      <c r="Q126" s="68">
        <f t="shared" si="30"/>
        <v>1225368.3970556525</v>
      </c>
      <c r="R126" s="27">
        <f>(1/(2*LOG(3.7*$I126/'Calculation Constants'!$B$2*1000)))^2</f>
        <v>8.5984950812375404E-3</v>
      </c>
      <c r="S126" s="19">
        <f t="shared" si="42"/>
        <v>0.74029497268187827</v>
      </c>
      <c r="T126" s="19">
        <f>IF($H126&gt;0,'Calculation Constants'!$B$9*Hydraulics!$K126^2/2/9.81/MAX($F$4:$F$253)*$H126,"")</f>
        <v>5.1657526045266834E-2</v>
      </c>
      <c r="U126" s="19">
        <f t="shared" si="43"/>
        <v>0.79195249872714513</v>
      </c>
      <c r="V126" s="19">
        <f t="shared" si="31"/>
        <v>0</v>
      </c>
      <c r="W126" s="19">
        <f t="shared" si="32"/>
        <v>105.49342751145559</v>
      </c>
      <c r="X126" s="23">
        <f t="shared" si="44"/>
        <v>1036.3564275114556</v>
      </c>
      <c r="Y126" s="22">
        <f>(1/(2*LOG(3.7*$I126/'Calculation Constants'!$B$3*1000)))^2</f>
        <v>9.645396509476439E-3</v>
      </c>
      <c r="Z126" s="19">
        <f t="shared" si="33"/>
        <v>0.83042886900867496</v>
      </c>
      <c r="AA126" s="19">
        <f>IF($H126&gt;0,'Calculation Constants'!$B$9*Hydraulics!$K126^2/2/9.81/MAX($F$4:$F$253)*$H126,"")</f>
        <v>5.1657526045266834E-2</v>
      </c>
      <c r="AB126" s="19">
        <f t="shared" si="55"/>
        <v>0.88208639505394182</v>
      </c>
      <c r="AC126" s="19">
        <f t="shared" si="34"/>
        <v>0</v>
      </c>
      <c r="AD126" s="19">
        <f t="shared" si="45"/>
        <v>104.68222244451499</v>
      </c>
      <c r="AE126" s="23">
        <f t="shared" si="46"/>
        <v>1035.545222444515</v>
      </c>
      <c r="AF126" s="27">
        <f>(1/(2*LOG(3.7*$I126/'Calculation Constants'!$B$4*1000)))^2</f>
        <v>1.1350445400368435E-2</v>
      </c>
      <c r="AG126" s="19">
        <f t="shared" si="35"/>
        <v>0.97722654815818577</v>
      </c>
      <c r="AH126" s="19">
        <f>IF($H126&gt;0,'Calculation Constants'!$B$9*Hydraulics!$K126^2/2/9.81/MAX($F$4:$F$253)*$H126,"")</f>
        <v>5.1657526045266834E-2</v>
      </c>
      <c r="AI126" s="19">
        <f t="shared" si="47"/>
        <v>1.0288840742034526</v>
      </c>
      <c r="AJ126" s="19">
        <f t="shared" si="36"/>
        <v>0</v>
      </c>
      <c r="AK126" s="19">
        <f t="shared" si="48"/>
        <v>103.36104333216872</v>
      </c>
      <c r="AL126" s="23">
        <f t="shared" si="49"/>
        <v>1034.2240433321688</v>
      </c>
      <c r="AM126" s="22">
        <f>(1/(2*LOG(3.7*($I126-0.008)/'Calculation Constants'!$B$5*1000)))^2</f>
        <v>1.4387191027645335E-2</v>
      </c>
      <c r="AN126" s="19">
        <f t="shared" si="50"/>
        <v>1.243652435121851</v>
      </c>
      <c r="AO126" s="19">
        <f>IF($H126&gt;0,'Calculation Constants'!$B$9*Hydraulics!$K126^2/2/9.81/MAX($F$4:$F$253)*$H126,"")</f>
        <v>5.1657526045266834E-2</v>
      </c>
      <c r="AP126" s="19">
        <f t="shared" si="51"/>
        <v>1.2953099611671177</v>
      </c>
      <c r="AQ126" s="19">
        <f t="shared" si="37"/>
        <v>0</v>
      </c>
      <c r="AR126" s="19">
        <f t="shared" si="52"/>
        <v>100.96321034949642</v>
      </c>
      <c r="AS126" s="23">
        <f t="shared" si="53"/>
        <v>1031.8262103494965</v>
      </c>
    </row>
    <row r="127" spans="5:45">
      <c r="E127" s="35" t="str">
        <f t="shared" si="38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4"/>
        <v>2</v>
      </c>
      <c r="I127" s="19">
        <v>2</v>
      </c>
      <c r="J127" s="36">
        <f>'Flow Rate Calculations'!$B$7</f>
        <v>4.0831050228310497</v>
      </c>
      <c r="K127" s="36">
        <f t="shared" si="39"/>
        <v>1.2996926950938155</v>
      </c>
      <c r="L127" s="37">
        <f>$I127*$K127/'Calculation Constants'!$B$7</f>
        <v>2300341.0532633904</v>
      </c>
      <c r="M127" s="37" t="str">
        <f t="shared" si="40"/>
        <v>Greater Dynamic Pressures</v>
      </c>
      <c r="N127" s="23">
        <f t="shared" si="41"/>
        <v>103.64047501272853</v>
      </c>
      <c r="O127" s="57">
        <f t="shared" si="29"/>
        <v>102.73913604946119</v>
      </c>
      <c r="P127" s="66">
        <f>MAX(I127*1000/'Calculation Constants'!$B$14,O127*10*I127*1000/2/('Calculation Constants'!$B$12*1000*'Calculation Constants'!$B$13))</f>
        <v>12.5</v>
      </c>
      <c r="Q127" s="68">
        <f t="shared" si="30"/>
        <v>1225368.3970556525</v>
      </c>
      <c r="R127" s="27">
        <f>(1/(2*LOG(3.7*$I127/'Calculation Constants'!$B$2*1000)))^2</f>
        <v>8.5984950812375404E-3</v>
      </c>
      <c r="S127" s="19">
        <f t="shared" si="42"/>
        <v>0.74029497268187827</v>
      </c>
      <c r="T127" s="19">
        <f>IF($H127&gt;0,'Calculation Constants'!$B$9*Hydraulics!$K127^2/2/9.81/MAX($F$4:$F$253)*$H127,"")</f>
        <v>5.1657526045266834E-2</v>
      </c>
      <c r="U127" s="19">
        <f t="shared" si="43"/>
        <v>0.79195249872714513</v>
      </c>
      <c r="V127" s="19">
        <f t="shared" si="31"/>
        <v>0</v>
      </c>
      <c r="W127" s="19">
        <f t="shared" si="32"/>
        <v>103.64047501272853</v>
      </c>
      <c r="X127" s="23">
        <f t="shared" si="44"/>
        <v>1035.5644750127285</v>
      </c>
      <c r="Y127" s="22">
        <f>(1/(2*LOG(3.7*$I127/'Calculation Constants'!$B$3*1000)))^2</f>
        <v>9.645396509476439E-3</v>
      </c>
      <c r="Z127" s="19">
        <f t="shared" si="33"/>
        <v>0.83042886900867496</v>
      </c>
      <c r="AA127" s="19">
        <f>IF($H127&gt;0,'Calculation Constants'!$B$9*Hydraulics!$K127^2/2/9.81/MAX($F$4:$F$253)*$H127,"")</f>
        <v>5.1657526045266834E-2</v>
      </c>
      <c r="AB127" s="19">
        <f t="shared" si="55"/>
        <v>0.88208639505394182</v>
      </c>
      <c r="AC127" s="19">
        <f t="shared" si="34"/>
        <v>0</v>
      </c>
      <c r="AD127" s="19">
        <f t="shared" si="45"/>
        <v>102.73913604946119</v>
      </c>
      <c r="AE127" s="23">
        <f t="shared" si="46"/>
        <v>1034.6631360494612</v>
      </c>
      <c r="AF127" s="27">
        <f>(1/(2*LOG(3.7*$I127/'Calculation Constants'!$B$4*1000)))^2</f>
        <v>1.1350445400368435E-2</v>
      </c>
      <c r="AG127" s="19">
        <f t="shared" si="35"/>
        <v>0.97722654815818577</v>
      </c>
      <c r="AH127" s="19">
        <f>IF($H127&gt;0,'Calculation Constants'!$B$9*Hydraulics!$K127^2/2/9.81/MAX($F$4:$F$253)*$H127,"")</f>
        <v>5.1657526045266834E-2</v>
      </c>
      <c r="AI127" s="19">
        <f t="shared" si="47"/>
        <v>1.0288840742034526</v>
      </c>
      <c r="AJ127" s="19">
        <f t="shared" si="36"/>
        <v>0</v>
      </c>
      <c r="AK127" s="19">
        <f t="shared" si="48"/>
        <v>101.27115925796534</v>
      </c>
      <c r="AL127" s="23">
        <f t="shared" si="49"/>
        <v>1033.1951592579653</v>
      </c>
      <c r="AM127" s="22">
        <f>(1/(2*LOG(3.7*($I127-0.008)/'Calculation Constants'!$B$5*1000)))^2</f>
        <v>1.4387191027645335E-2</v>
      </c>
      <c r="AN127" s="19">
        <f t="shared" si="50"/>
        <v>1.243652435121851</v>
      </c>
      <c r="AO127" s="19">
        <f>IF($H127&gt;0,'Calculation Constants'!$B$9*Hydraulics!$K127^2/2/9.81/MAX($F$4:$F$253)*$H127,"")</f>
        <v>5.1657526045266834E-2</v>
      </c>
      <c r="AP127" s="19">
        <f t="shared" si="51"/>
        <v>1.2953099611671177</v>
      </c>
      <c r="AQ127" s="19">
        <f t="shared" si="37"/>
        <v>0</v>
      </c>
      <c r="AR127" s="19">
        <f t="shared" si="52"/>
        <v>98.60690038832945</v>
      </c>
      <c r="AS127" s="23">
        <f t="shared" si="53"/>
        <v>1030.5309003883294</v>
      </c>
    </row>
    <row r="128" spans="5:45">
      <c r="E128" s="35" t="str">
        <f t="shared" si="38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4"/>
        <v>2</v>
      </c>
      <c r="I128" s="19">
        <v>2</v>
      </c>
      <c r="J128" s="36">
        <f>'Flow Rate Calculations'!$B$7</f>
        <v>4.0831050228310497</v>
      </c>
      <c r="K128" s="36">
        <f t="shared" si="39"/>
        <v>1.2996926950938155</v>
      </c>
      <c r="L128" s="37">
        <f>$I128*$K128/'Calculation Constants'!$B$7</f>
        <v>2300341.0532633904</v>
      </c>
      <c r="M128" s="37" t="str">
        <f t="shared" si="40"/>
        <v>Greater Dynamic Pressures</v>
      </c>
      <c r="N128" s="23">
        <f t="shared" si="41"/>
        <v>98.050522514001386</v>
      </c>
      <c r="O128" s="57">
        <f t="shared" si="29"/>
        <v>97.059049654407318</v>
      </c>
      <c r="P128" s="66">
        <f>MAX(I128*1000/'Calculation Constants'!$B$14,O128*10*I128*1000/2/('Calculation Constants'!$B$12*1000*'Calculation Constants'!$B$13))</f>
        <v>12.5</v>
      </c>
      <c r="Q128" s="68">
        <f t="shared" si="30"/>
        <v>1225368.3970556525</v>
      </c>
      <c r="R128" s="27">
        <f>(1/(2*LOG(3.7*$I128/'Calculation Constants'!$B$2*1000)))^2</f>
        <v>8.5984950812375404E-3</v>
      </c>
      <c r="S128" s="19">
        <f t="shared" si="42"/>
        <v>0.74029497268187827</v>
      </c>
      <c r="T128" s="19">
        <f>IF($H128&gt;0,'Calculation Constants'!$B$9*Hydraulics!$K128^2/2/9.81/MAX($F$4:$F$253)*$H128,"")</f>
        <v>5.1657526045266834E-2</v>
      </c>
      <c r="U128" s="19">
        <f t="shared" si="43"/>
        <v>0.79195249872714513</v>
      </c>
      <c r="V128" s="19">
        <f t="shared" si="31"/>
        <v>0</v>
      </c>
      <c r="W128" s="19">
        <f t="shared" si="32"/>
        <v>98.050522514001386</v>
      </c>
      <c r="X128" s="23">
        <f t="shared" si="44"/>
        <v>1034.7725225140014</v>
      </c>
      <c r="Y128" s="22">
        <f>(1/(2*LOG(3.7*$I128/'Calculation Constants'!$B$3*1000)))^2</f>
        <v>9.645396509476439E-3</v>
      </c>
      <c r="Z128" s="19">
        <f t="shared" si="33"/>
        <v>0.83042886900867496</v>
      </c>
      <c r="AA128" s="19">
        <f>IF($H128&gt;0,'Calculation Constants'!$B$9*Hydraulics!$K128^2/2/9.81/MAX($F$4:$F$253)*$H128,"")</f>
        <v>5.1657526045266834E-2</v>
      </c>
      <c r="AB128" s="19">
        <f t="shared" si="55"/>
        <v>0.88208639505394182</v>
      </c>
      <c r="AC128" s="19">
        <f t="shared" si="34"/>
        <v>0</v>
      </c>
      <c r="AD128" s="19">
        <f t="shared" si="45"/>
        <v>97.059049654407318</v>
      </c>
      <c r="AE128" s="23">
        <f t="shared" si="46"/>
        <v>1033.7810496544073</v>
      </c>
      <c r="AF128" s="27">
        <f>(1/(2*LOG(3.7*$I128/'Calculation Constants'!$B$4*1000)))^2</f>
        <v>1.1350445400368435E-2</v>
      </c>
      <c r="AG128" s="19">
        <f t="shared" si="35"/>
        <v>0.97722654815818577</v>
      </c>
      <c r="AH128" s="19">
        <f>IF($H128&gt;0,'Calculation Constants'!$B$9*Hydraulics!$K128^2/2/9.81/MAX($F$4:$F$253)*$H128,"")</f>
        <v>5.1657526045266834E-2</v>
      </c>
      <c r="AI128" s="19">
        <f t="shared" si="47"/>
        <v>1.0288840742034526</v>
      </c>
      <c r="AJ128" s="19">
        <f t="shared" si="36"/>
        <v>0</v>
      </c>
      <c r="AK128" s="19">
        <f t="shared" si="48"/>
        <v>95.444275183761874</v>
      </c>
      <c r="AL128" s="23">
        <f t="shared" si="49"/>
        <v>1032.1662751837619</v>
      </c>
      <c r="AM128" s="22">
        <f>(1/(2*LOG(3.7*($I128-0.008)/'Calculation Constants'!$B$5*1000)))^2</f>
        <v>1.4387191027645335E-2</v>
      </c>
      <c r="AN128" s="19">
        <f t="shared" si="50"/>
        <v>1.243652435121851</v>
      </c>
      <c r="AO128" s="19">
        <f>IF($H128&gt;0,'Calculation Constants'!$B$9*Hydraulics!$K128^2/2/9.81/MAX($F$4:$F$253)*$H128,"")</f>
        <v>5.1657526045266834E-2</v>
      </c>
      <c r="AP128" s="19">
        <f t="shared" si="51"/>
        <v>1.2953099611671177</v>
      </c>
      <c r="AQ128" s="19">
        <f t="shared" si="37"/>
        <v>0</v>
      </c>
      <c r="AR128" s="19">
        <f t="shared" si="52"/>
        <v>92.513590427162399</v>
      </c>
      <c r="AS128" s="23">
        <f t="shared" si="53"/>
        <v>1029.2355904271624</v>
      </c>
    </row>
    <row r="129" spans="5:46">
      <c r="E129" s="35" t="str">
        <f t="shared" si="38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4"/>
        <v>2</v>
      </c>
      <c r="I129" s="19">
        <v>2</v>
      </c>
      <c r="J129" s="36">
        <f>'Flow Rate Calculations'!$B$7</f>
        <v>4.0831050228310497</v>
      </c>
      <c r="K129" s="36">
        <f t="shared" si="39"/>
        <v>1.2996926950938155</v>
      </c>
      <c r="L129" s="37">
        <f>$I129*$K129/'Calculation Constants'!$B$7</f>
        <v>2300341.0532633904</v>
      </c>
      <c r="M129" s="37" t="str">
        <f t="shared" si="40"/>
        <v>Greater Dynamic Pressures</v>
      </c>
      <c r="N129" s="23">
        <f t="shared" si="41"/>
        <v>92.203570015274181</v>
      </c>
      <c r="O129" s="57">
        <f t="shared" si="29"/>
        <v>91.121963259353379</v>
      </c>
      <c r="P129" s="66">
        <f>MAX(I129*1000/'Calculation Constants'!$B$14,O129*10*I129*1000/2/('Calculation Constants'!$B$12*1000*'Calculation Constants'!$B$13))</f>
        <v>12.5</v>
      </c>
      <c r="Q129" s="68">
        <f t="shared" si="30"/>
        <v>1225368.3970556525</v>
      </c>
      <c r="R129" s="27">
        <f>(1/(2*LOG(3.7*$I129/'Calculation Constants'!$B$2*1000)))^2</f>
        <v>8.5984950812375404E-3</v>
      </c>
      <c r="S129" s="19">
        <f t="shared" si="42"/>
        <v>0.74029497268187827</v>
      </c>
      <c r="T129" s="19">
        <f>IF($H129&gt;0,'Calculation Constants'!$B$9*Hydraulics!$K129^2/2/9.81/MAX($F$4:$F$253)*$H129,"")</f>
        <v>5.1657526045266834E-2</v>
      </c>
      <c r="U129" s="19">
        <f t="shared" si="43"/>
        <v>0.79195249872714513</v>
      </c>
      <c r="V129" s="19">
        <f t="shared" si="31"/>
        <v>0</v>
      </c>
      <c r="W129" s="19">
        <f t="shared" si="32"/>
        <v>92.203570015274181</v>
      </c>
      <c r="X129" s="23">
        <f t="shared" si="44"/>
        <v>1033.9805700152742</v>
      </c>
      <c r="Y129" s="22">
        <f>(1/(2*LOG(3.7*$I129/'Calculation Constants'!$B$3*1000)))^2</f>
        <v>9.645396509476439E-3</v>
      </c>
      <c r="Z129" s="19">
        <f t="shared" si="33"/>
        <v>0.83042886900867496</v>
      </c>
      <c r="AA129" s="19">
        <f>IF($H129&gt;0,'Calculation Constants'!$B$9*Hydraulics!$K129^2/2/9.81/MAX($F$4:$F$253)*$H129,"")</f>
        <v>5.1657526045266834E-2</v>
      </c>
      <c r="AB129" s="19">
        <f t="shared" si="55"/>
        <v>0.88208639505394182</v>
      </c>
      <c r="AC129" s="19">
        <f t="shared" si="34"/>
        <v>0</v>
      </c>
      <c r="AD129" s="19">
        <f t="shared" si="45"/>
        <v>91.121963259353379</v>
      </c>
      <c r="AE129" s="23">
        <f t="shared" si="46"/>
        <v>1032.8989632593534</v>
      </c>
      <c r="AF129" s="27">
        <f>(1/(2*LOG(3.7*$I129/'Calculation Constants'!$B$4*1000)))^2</f>
        <v>1.1350445400368435E-2</v>
      </c>
      <c r="AG129" s="19">
        <f t="shared" si="35"/>
        <v>0.97722654815818577</v>
      </c>
      <c r="AH129" s="19">
        <f>IF($H129&gt;0,'Calculation Constants'!$B$9*Hydraulics!$K129^2/2/9.81/MAX($F$4:$F$253)*$H129,"")</f>
        <v>5.1657526045266834E-2</v>
      </c>
      <c r="AI129" s="19">
        <f t="shared" si="47"/>
        <v>1.0288840742034526</v>
      </c>
      <c r="AJ129" s="19">
        <f t="shared" si="36"/>
        <v>0</v>
      </c>
      <c r="AK129" s="19">
        <f t="shared" si="48"/>
        <v>89.36039110955835</v>
      </c>
      <c r="AL129" s="23">
        <f t="shared" si="49"/>
        <v>1031.1373911095584</v>
      </c>
      <c r="AM129" s="22">
        <f>(1/(2*LOG(3.7*($I129-0.008)/'Calculation Constants'!$B$5*1000)))^2</f>
        <v>1.4387191027645335E-2</v>
      </c>
      <c r="AN129" s="19">
        <f t="shared" si="50"/>
        <v>1.243652435121851</v>
      </c>
      <c r="AO129" s="19">
        <f>IF($H129&gt;0,'Calculation Constants'!$B$9*Hydraulics!$K129^2/2/9.81/MAX($F$4:$F$253)*$H129,"")</f>
        <v>5.1657526045266834E-2</v>
      </c>
      <c r="AP129" s="19">
        <f t="shared" si="51"/>
        <v>1.2953099611671177</v>
      </c>
      <c r="AQ129" s="19">
        <f t="shared" si="37"/>
        <v>0</v>
      </c>
      <c r="AR129" s="19">
        <f t="shared" si="52"/>
        <v>86.163280465995285</v>
      </c>
      <c r="AS129" s="23">
        <f t="shared" si="53"/>
        <v>1027.9402804659953</v>
      </c>
    </row>
    <row r="130" spans="5:46">
      <c r="E130" s="35" t="str">
        <f t="shared" si="38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4"/>
        <v>2</v>
      </c>
      <c r="I130" s="19">
        <v>2</v>
      </c>
      <c r="J130" s="36">
        <f>'Flow Rate Calculations'!$B$7</f>
        <v>4.0831050228310497</v>
      </c>
      <c r="K130" s="36">
        <f t="shared" si="39"/>
        <v>1.2996926950938155</v>
      </c>
      <c r="L130" s="37">
        <f>$I130*$K130/'Calculation Constants'!$B$7</f>
        <v>2300341.0532633904</v>
      </c>
      <c r="M130" s="37" t="str">
        <f t="shared" si="40"/>
        <v>Greater Dynamic Pressures</v>
      </c>
      <c r="N130" s="23">
        <f t="shared" si="41"/>
        <v>85.045617516547054</v>
      </c>
      <c r="O130" s="57">
        <f t="shared" si="29"/>
        <v>83.873876864299518</v>
      </c>
      <c r="P130" s="66">
        <f>MAX(I130*1000/'Calculation Constants'!$B$14,O130*10*I130*1000/2/('Calculation Constants'!$B$12*1000*'Calculation Constants'!$B$13))</f>
        <v>12.5</v>
      </c>
      <c r="Q130" s="68">
        <f t="shared" si="30"/>
        <v>1225368.3970556525</v>
      </c>
      <c r="R130" s="27">
        <f>(1/(2*LOG(3.7*$I130/'Calculation Constants'!$B$2*1000)))^2</f>
        <v>8.5984950812375404E-3</v>
      </c>
      <c r="S130" s="19">
        <f t="shared" si="42"/>
        <v>0.74029497268187827</v>
      </c>
      <c r="T130" s="19">
        <f>IF($H130&gt;0,'Calculation Constants'!$B$9*Hydraulics!$K130^2/2/9.81/MAX($F$4:$F$253)*$H130,"")</f>
        <v>5.1657526045266834E-2</v>
      </c>
      <c r="U130" s="19">
        <f t="shared" si="43"/>
        <v>0.79195249872714513</v>
      </c>
      <c r="V130" s="19">
        <f t="shared" si="31"/>
        <v>0</v>
      </c>
      <c r="W130" s="19">
        <f t="shared" si="32"/>
        <v>85.045617516547054</v>
      </c>
      <c r="X130" s="23">
        <f t="shared" si="44"/>
        <v>1033.1886175165471</v>
      </c>
      <c r="Y130" s="22">
        <f>(1/(2*LOG(3.7*$I130/'Calculation Constants'!$B$3*1000)))^2</f>
        <v>9.645396509476439E-3</v>
      </c>
      <c r="Z130" s="19">
        <f t="shared" si="33"/>
        <v>0.83042886900867496</v>
      </c>
      <c r="AA130" s="19">
        <f>IF($H130&gt;0,'Calculation Constants'!$B$9*Hydraulics!$K130^2/2/9.81/MAX($F$4:$F$253)*$H130,"")</f>
        <v>5.1657526045266834E-2</v>
      </c>
      <c r="AB130" s="19">
        <f t="shared" si="55"/>
        <v>0.88208639505394182</v>
      </c>
      <c r="AC130" s="19">
        <f t="shared" si="34"/>
        <v>0</v>
      </c>
      <c r="AD130" s="19">
        <f t="shared" si="45"/>
        <v>83.873876864299518</v>
      </c>
      <c r="AE130" s="23">
        <f t="shared" si="46"/>
        <v>1032.0168768642995</v>
      </c>
      <c r="AF130" s="27">
        <f>(1/(2*LOG(3.7*$I130/'Calculation Constants'!$B$4*1000)))^2</f>
        <v>1.1350445400368435E-2</v>
      </c>
      <c r="AG130" s="19">
        <f t="shared" si="35"/>
        <v>0.97722654815818577</v>
      </c>
      <c r="AH130" s="19">
        <f>IF($H130&gt;0,'Calculation Constants'!$B$9*Hydraulics!$K130^2/2/9.81/MAX($F$4:$F$253)*$H130,"")</f>
        <v>5.1657526045266834E-2</v>
      </c>
      <c r="AI130" s="19">
        <f t="shared" si="47"/>
        <v>1.0288840742034526</v>
      </c>
      <c r="AJ130" s="19">
        <f t="shared" si="36"/>
        <v>0</v>
      </c>
      <c r="AK130" s="19">
        <f t="shared" si="48"/>
        <v>81.965507035354904</v>
      </c>
      <c r="AL130" s="23">
        <f t="shared" si="49"/>
        <v>1030.1085070353549</v>
      </c>
      <c r="AM130" s="22">
        <f>(1/(2*LOG(3.7*($I130-0.008)/'Calculation Constants'!$B$5*1000)))^2</f>
        <v>1.4387191027645335E-2</v>
      </c>
      <c r="AN130" s="19">
        <f t="shared" si="50"/>
        <v>1.243652435121851</v>
      </c>
      <c r="AO130" s="19">
        <f>IF($H130&gt;0,'Calculation Constants'!$B$9*Hydraulics!$K130^2/2/9.81/MAX($F$4:$F$253)*$H130,"")</f>
        <v>5.1657526045266834E-2</v>
      </c>
      <c r="AP130" s="19">
        <f t="shared" si="51"/>
        <v>1.2953099611671177</v>
      </c>
      <c r="AQ130" s="19">
        <f t="shared" si="37"/>
        <v>0</v>
      </c>
      <c r="AR130" s="19">
        <f t="shared" si="52"/>
        <v>78.50197050482825</v>
      </c>
      <c r="AS130" s="23">
        <f t="shared" si="53"/>
        <v>1026.6449705048283</v>
      </c>
    </row>
    <row r="131" spans="5:46">
      <c r="E131" s="35" t="str">
        <f t="shared" si="38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4"/>
        <v>2</v>
      </c>
      <c r="I131" s="19">
        <v>2</v>
      </c>
      <c r="J131" s="36">
        <f>'Flow Rate Calculations'!$B$7</f>
        <v>4.0831050228310497</v>
      </c>
      <c r="K131" s="36">
        <f t="shared" si="39"/>
        <v>1.2996926950938155</v>
      </c>
      <c r="L131" s="37">
        <f>$I131*$K131/'Calculation Constants'!$B$7</f>
        <v>2300341.0532633904</v>
      </c>
      <c r="M131" s="37" t="str">
        <f t="shared" si="40"/>
        <v>Greater Dynamic Pressures</v>
      </c>
      <c r="N131" s="23">
        <f t="shared" si="41"/>
        <v>76.979665017819912</v>
      </c>
      <c r="O131" s="57">
        <f t="shared" si="29"/>
        <v>75.717790469245642</v>
      </c>
      <c r="P131" s="66">
        <f>MAX(I131*1000/'Calculation Constants'!$B$14,O131*10*I131*1000/2/('Calculation Constants'!$B$12*1000*'Calculation Constants'!$B$13))</f>
        <v>12.5</v>
      </c>
      <c r="Q131" s="68">
        <f t="shared" si="30"/>
        <v>1225368.3970556525</v>
      </c>
      <c r="R131" s="27">
        <f>(1/(2*LOG(3.7*$I131/'Calculation Constants'!$B$2*1000)))^2</f>
        <v>8.5984950812375404E-3</v>
      </c>
      <c r="S131" s="19">
        <f t="shared" si="42"/>
        <v>0.74029497268187827</v>
      </c>
      <c r="T131" s="19">
        <f>IF($H131&gt;0,'Calculation Constants'!$B$9*Hydraulics!$K131^2/2/9.81/MAX($F$4:$F$253)*$H131,"")</f>
        <v>5.1657526045266834E-2</v>
      </c>
      <c r="U131" s="19">
        <f t="shared" si="43"/>
        <v>0.79195249872714513</v>
      </c>
      <c r="V131" s="19">
        <f t="shared" si="31"/>
        <v>0</v>
      </c>
      <c r="W131" s="19">
        <f t="shared" si="32"/>
        <v>76.979665017819912</v>
      </c>
      <c r="X131" s="23">
        <f t="shared" si="44"/>
        <v>1032.3966650178199</v>
      </c>
      <c r="Y131" s="22">
        <f>(1/(2*LOG(3.7*$I131/'Calculation Constants'!$B$3*1000)))^2</f>
        <v>9.645396509476439E-3</v>
      </c>
      <c r="Z131" s="19">
        <f t="shared" si="33"/>
        <v>0.83042886900867496</v>
      </c>
      <c r="AA131" s="19">
        <f>IF($H131&gt;0,'Calculation Constants'!$B$9*Hydraulics!$K131^2/2/9.81/MAX($F$4:$F$253)*$H131,"")</f>
        <v>5.1657526045266834E-2</v>
      </c>
      <c r="AB131" s="19">
        <f t="shared" si="55"/>
        <v>0.88208639505394182</v>
      </c>
      <c r="AC131" s="19">
        <f t="shared" si="34"/>
        <v>0</v>
      </c>
      <c r="AD131" s="19">
        <f t="shared" si="45"/>
        <v>75.717790469245642</v>
      </c>
      <c r="AE131" s="23">
        <f t="shared" si="46"/>
        <v>1031.1347904692457</v>
      </c>
      <c r="AF131" s="27">
        <f>(1/(2*LOG(3.7*$I131/'Calculation Constants'!$B$4*1000)))^2</f>
        <v>1.1350445400368435E-2</v>
      </c>
      <c r="AG131" s="19">
        <f t="shared" si="35"/>
        <v>0.97722654815818577</v>
      </c>
      <c r="AH131" s="19">
        <f>IF($H131&gt;0,'Calculation Constants'!$B$9*Hydraulics!$K131^2/2/9.81/MAX($F$4:$F$253)*$H131,"")</f>
        <v>5.1657526045266834E-2</v>
      </c>
      <c r="AI131" s="19">
        <f t="shared" si="47"/>
        <v>1.0288840742034526</v>
      </c>
      <c r="AJ131" s="19">
        <f t="shared" si="36"/>
        <v>0</v>
      </c>
      <c r="AK131" s="19">
        <f t="shared" si="48"/>
        <v>73.662622961151442</v>
      </c>
      <c r="AL131" s="23">
        <f t="shared" si="49"/>
        <v>1029.0796229611515</v>
      </c>
      <c r="AM131" s="22">
        <f>(1/(2*LOG(3.7*($I131-0.008)/'Calculation Constants'!$B$5*1000)))^2</f>
        <v>1.4387191027645335E-2</v>
      </c>
      <c r="AN131" s="19">
        <f t="shared" si="50"/>
        <v>1.243652435121851</v>
      </c>
      <c r="AO131" s="19">
        <f>IF($H131&gt;0,'Calculation Constants'!$B$9*Hydraulics!$K131^2/2/9.81/MAX($F$4:$F$253)*$H131,"")</f>
        <v>5.1657526045266834E-2</v>
      </c>
      <c r="AP131" s="19">
        <f t="shared" si="51"/>
        <v>1.2953099611671177</v>
      </c>
      <c r="AQ131" s="19">
        <f t="shared" si="37"/>
        <v>0</v>
      </c>
      <c r="AR131" s="19">
        <f t="shared" si="52"/>
        <v>69.9326605436612</v>
      </c>
      <c r="AS131" s="23">
        <f t="shared" si="53"/>
        <v>1025.3496605436612</v>
      </c>
    </row>
    <row r="132" spans="5:46">
      <c r="E132" s="35" t="str">
        <f t="shared" si="38"/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4"/>
        <v>2</v>
      </c>
      <c r="I132" s="19">
        <v>2</v>
      </c>
      <c r="J132" s="36">
        <f>'Flow Rate Calculations'!$B$7</f>
        <v>4.0831050228310497</v>
      </c>
      <c r="K132" s="36">
        <f t="shared" si="39"/>
        <v>1.2996926950938155</v>
      </c>
      <c r="L132" s="37">
        <f>$I132*$K132/'Calculation Constants'!$B$7</f>
        <v>2300341.0532633904</v>
      </c>
      <c r="M132" s="37" t="str">
        <f t="shared" si="40"/>
        <v>Greater Dynamic Pressures</v>
      </c>
      <c r="N132" s="23">
        <f t="shared" si="41"/>
        <v>68.904712519092755</v>
      </c>
      <c r="O132" s="57">
        <f t="shared" ref="O132:O195" si="56">MAX(M132,AD132)</f>
        <v>67.552704074191752</v>
      </c>
      <c r="P132" s="66">
        <f>MAX(I132*1000/'Calculation Constants'!$B$14,O132*10*I132*1000/2/('Calculation Constants'!$B$12*1000*'Calculation Constants'!$B$13))</f>
        <v>12.5</v>
      </c>
      <c r="Q132" s="68">
        <f t="shared" ref="Q132:Q195" si="57">(I132^2*PI()/4-(I132-P132/1000*2)^2*PI()/4)*H132*1000*7850</f>
        <v>1225368.3970556525</v>
      </c>
      <c r="R132" s="27">
        <f>(1/(2*LOG(3.7*$I132/'Calculation Constants'!$B$2*1000)))^2</f>
        <v>8.5984950812375404E-3</v>
      </c>
      <c r="S132" s="19">
        <f t="shared" si="42"/>
        <v>0.74029497268187827</v>
      </c>
      <c r="T132" s="19">
        <f>IF($H132&gt;0,'Calculation Constants'!$B$9*Hydraulics!$K132^2/2/9.81/MAX($F$4:$F$253)*$H132,"")</f>
        <v>5.1657526045266834E-2</v>
      </c>
      <c r="U132" s="19">
        <f t="shared" si="43"/>
        <v>0.79195249872714513</v>
      </c>
      <c r="V132" s="19">
        <f t="shared" ref="V132:V195" si="58">IF($F132=$B$4,$D$4,(IF($F132=$B$5,$D$5,IF($F132=$B$6,$D$6,0))))</f>
        <v>0</v>
      </c>
      <c r="W132" s="19">
        <f t="shared" ref="W132:W195" si="59">IF(E132="Reservoir",VLOOKUP(F132,$B$11:$D$15,2)-G132,X132-$G132)</f>
        <v>68.904712519092755</v>
      </c>
      <c r="X132" s="23">
        <f t="shared" si="44"/>
        <v>1031.6047125190928</v>
      </c>
      <c r="Y132" s="22">
        <f>(1/(2*LOG(3.7*$I132/'Calculation Constants'!$B$3*1000)))^2</f>
        <v>9.645396509476439E-3</v>
      </c>
      <c r="Z132" s="19">
        <f t="shared" ref="Z132:Z195" si="60">IF($H132&gt;0,Y132*$H132*$K132^2/2/9.81/$I132*1000,"")</f>
        <v>0.83042886900867496</v>
      </c>
      <c r="AA132" s="19">
        <f>IF($H132&gt;0,'Calculation Constants'!$B$9*Hydraulics!$K132^2/2/9.81/MAX($F$4:$F$253)*$H132,"")</f>
        <v>5.1657526045266834E-2</v>
      </c>
      <c r="AB132" s="19">
        <f t="shared" si="55"/>
        <v>0.88208639505394182</v>
      </c>
      <c r="AC132" s="19">
        <f t="shared" ref="AC132:AC195" si="61">IF($F132=$B$4,$D$4,(IF($F132=$B$5,$D$5,IF($F132=$B$6,$D$6,0))))</f>
        <v>0</v>
      </c>
      <c r="AD132" s="19">
        <f t="shared" si="45"/>
        <v>67.552704074191752</v>
      </c>
      <c r="AE132" s="23">
        <f t="shared" si="46"/>
        <v>1030.2527040741918</v>
      </c>
      <c r="AF132" s="27">
        <f>(1/(2*LOG(3.7*$I132/'Calculation Constants'!$B$4*1000)))^2</f>
        <v>1.1350445400368435E-2</v>
      </c>
      <c r="AG132" s="19">
        <f t="shared" ref="AG132:AG195" si="62">IF($H132&gt;0,AF132*$H132*$K132^2/2/9.81/$I132*1000,"")</f>
        <v>0.97722654815818577</v>
      </c>
      <c r="AH132" s="19">
        <f>IF($H132&gt;0,'Calculation Constants'!$B$9*Hydraulics!$K132^2/2/9.81/MAX($F$4:$F$253)*$H132,"")</f>
        <v>5.1657526045266834E-2</v>
      </c>
      <c r="AI132" s="19">
        <f t="shared" si="47"/>
        <v>1.0288840742034526</v>
      </c>
      <c r="AJ132" s="19">
        <f t="shared" ref="AJ132:AJ195" si="63">IF($F132=$B$4,$D$4,(IF($F132=$B$5,$D$5,IF($F132=$B$6,$D$6,0))))</f>
        <v>0</v>
      </c>
      <c r="AK132" s="19">
        <f t="shared" si="48"/>
        <v>65.350738886947966</v>
      </c>
      <c r="AL132" s="23">
        <f t="shared" si="49"/>
        <v>1028.050738886948</v>
      </c>
      <c r="AM132" s="22">
        <f>(1/(2*LOG(3.7*($I132-0.008)/'Calculation Constants'!$B$5*1000)))^2</f>
        <v>1.4387191027645335E-2</v>
      </c>
      <c r="AN132" s="19">
        <f t="shared" si="50"/>
        <v>1.243652435121851</v>
      </c>
      <c r="AO132" s="19">
        <f>IF($H132&gt;0,'Calculation Constants'!$B$9*Hydraulics!$K132^2/2/9.81/MAX($F$4:$F$253)*$H132,"")</f>
        <v>5.1657526045266834E-2</v>
      </c>
      <c r="AP132" s="19">
        <f t="shared" si="51"/>
        <v>1.2953099611671177</v>
      </c>
      <c r="AQ132" s="19">
        <f t="shared" ref="AQ132:AQ195" si="64">IF($F132=$B$4,$D$4,(IF($F132=$B$5,$D$5,IF($F132=$B$6,$D$6,0))))</f>
        <v>0</v>
      </c>
      <c r="AR132" s="19">
        <f t="shared" si="52"/>
        <v>61.354350582494135</v>
      </c>
      <c r="AS132" s="23">
        <f t="shared" si="53"/>
        <v>1024.0543505824942</v>
      </c>
    </row>
    <row r="133" spans="5:46">
      <c r="E133" s="35" t="str">
        <f t="shared" ref="E133:E196" si="65">IF(OR(F133=$B$11,F133=$B$12,F133=$B$13,F133=$B$14,F133=$B$15,F133=$B$16),"Reservoir",IF(OR(F133=$B$4,F133=$B$5,F133=$B$6),"Pump Station",""))</f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4"/>
        <v>2</v>
      </c>
      <c r="I133" s="19">
        <v>2</v>
      </c>
      <c r="J133" s="36">
        <f>'Flow Rate Calculations'!$B$7</f>
        <v>4.0831050228310497</v>
      </c>
      <c r="K133" s="36">
        <f t="shared" ref="K133:K196" si="66">J133/I133^2/PI()*4</f>
        <v>1.2996926950938155</v>
      </c>
      <c r="L133" s="37">
        <f>$I133*$K133/'Calculation Constants'!$B$7</f>
        <v>2300341.0532633904</v>
      </c>
      <c r="M133" s="37" t="str">
        <f t="shared" ref="M133:M196" si="67">IF(X133&gt;VLOOKUP(F133,$B$11:$D$16,2),"Greater Dynamic Pressures",VLOOKUP(F133,$B$11:$C$16,2)-G133)</f>
        <v>Greater Dynamic Pressures</v>
      </c>
      <c r="N133" s="23">
        <f t="shared" ref="N133:N196" si="68">W133</f>
        <v>61.531760020365709</v>
      </c>
      <c r="O133" s="57">
        <f t="shared" si="56"/>
        <v>60.089617679137973</v>
      </c>
      <c r="P133" s="66">
        <f>MAX(I133*1000/'Calculation Constants'!$B$14,O133*10*I133*1000/2/('Calculation Constants'!$B$12*1000*'Calculation Constants'!$B$13))</f>
        <v>12.5</v>
      </c>
      <c r="Q133" s="68">
        <f t="shared" si="57"/>
        <v>1225368.3970556525</v>
      </c>
      <c r="R133" s="27">
        <f>(1/(2*LOG(3.7*$I133/'Calculation Constants'!$B$2*1000)))^2</f>
        <v>8.5984950812375404E-3</v>
      </c>
      <c r="S133" s="19">
        <f t="shared" ref="S133:S196" si="69">IF($H133&gt;0,R133*$H133*$K133^2/2/9.81/$I133*1000,"")</f>
        <v>0.74029497268187827</v>
      </c>
      <c r="T133" s="19">
        <f>IF($H133&gt;0,'Calculation Constants'!$B$9*Hydraulics!$K133^2/2/9.81/MAX($F$4:$F$253)*$H133,"")</f>
        <v>5.1657526045266834E-2</v>
      </c>
      <c r="U133" s="19">
        <f t="shared" ref="U133:U196" si="70">IF(S133="",0,S133+T133)</f>
        <v>0.79195249872714513</v>
      </c>
      <c r="V133" s="19">
        <f t="shared" si="58"/>
        <v>0</v>
      </c>
      <c r="W133" s="19">
        <f t="shared" si="59"/>
        <v>61.531760020365709</v>
      </c>
      <c r="X133" s="23">
        <f t="shared" ref="X133:X196" si="71">IF($E133="Reservoir",VLOOKUP($F133,$B$11:$D$16,2)+V133,X132-U133+V133)</f>
        <v>1030.8127600203657</v>
      </c>
      <c r="Y133" s="22">
        <f>(1/(2*LOG(3.7*$I133/'Calculation Constants'!$B$3*1000)))^2</f>
        <v>9.645396509476439E-3</v>
      </c>
      <c r="Z133" s="19">
        <f t="shared" si="60"/>
        <v>0.83042886900867496</v>
      </c>
      <c r="AA133" s="19">
        <f>IF($H133&gt;0,'Calculation Constants'!$B$9*Hydraulics!$K133^2/2/9.81/MAX($F$4:$F$253)*$H133,"")</f>
        <v>5.1657526045266834E-2</v>
      </c>
      <c r="AB133" s="19">
        <f t="shared" si="55"/>
        <v>0.88208639505394182</v>
      </c>
      <c r="AC133" s="19">
        <f t="shared" si="61"/>
        <v>0</v>
      </c>
      <c r="AD133" s="19">
        <f t="shared" ref="AD133:AD196" si="72">AE133-$G133</f>
        <v>60.089617679137973</v>
      </c>
      <c r="AE133" s="23">
        <f t="shared" ref="AE133:AE196" si="73">IF($E133="Reservoir",VLOOKUP($F133,$B$11:$D$16,2)+AC133,AE132-AB133+AC133)</f>
        <v>1029.3706176791379</v>
      </c>
      <c r="AF133" s="27">
        <f>(1/(2*LOG(3.7*$I133/'Calculation Constants'!$B$4*1000)))^2</f>
        <v>1.1350445400368435E-2</v>
      </c>
      <c r="AG133" s="19">
        <f t="shared" si="62"/>
        <v>0.97722654815818577</v>
      </c>
      <c r="AH133" s="19">
        <f>IF($H133&gt;0,'Calculation Constants'!$B$9*Hydraulics!$K133^2/2/9.81/MAX($F$4:$F$253)*$H133,"")</f>
        <v>5.1657526045266834E-2</v>
      </c>
      <c r="AI133" s="19">
        <f t="shared" ref="AI133:AI196" si="74">IF(AG133="",0,AG133+AH133)</f>
        <v>1.0288840742034526</v>
      </c>
      <c r="AJ133" s="19">
        <f t="shared" si="63"/>
        <v>0</v>
      </c>
      <c r="AK133" s="19">
        <f t="shared" ref="AK133:AK196" si="75">AL133-$G133</f>
        <v>57.740854812744601</v>
      </c>
      <c r="AL133" s="23">
        <f t="shared" ref="AL133:AL196" si="76">IF($E133="Reservoir",VLOOKUP($F133,$B$11:$D$16,2)+AJ133,AL132-AI133+AJ133)</f>
        <v>1027.0218548127446</v>
      </c>
      <c r="AM133" s="22">
        <f>(1/(2*LOG(3.7*($I133-0.008)/'Calculation Constants'!$B$5*1000)))^2</f>
        <v>1.4387191027645335E-2</v>
      </c>
      <c r="AN133" s="19">
        <f t="shared" ref="AN133:AN196" si="77">IF($H133&gt;0,AM133*$H133*$K133^2/2/9.81/($I133-0.008)*1000,"")</f>
        <v>1.243652435121851</v>
      </c>
      <c r="AO133" s="19">
        <f>IF($H133&gt;0,'Calculation Constants'!$B$9*Hydraulics!$K133^2/2/9.81/MAX($F$4:$F$253)*$H133,"")</f>
        <v>5.1657526045266834E-2</v>
      </c>
      <c r="AP133" s="19">
        <f t="shared" ref="AP133:AP196" si="78">IF(AN133="",0,AN133+AO133)</f>
        <v>1.2953099611671177</v>
      </c>
      <c r="AQ133" s="19">
        <f t="shared" si="64"/>
        <v>0</v>
      </c>
      <c r="AR133" s="19">
        <f t="shared" ref="AR133:AR196" si="79">AS133-$G133</f>
        <v>53.478040621327068</v>
      </c>
      <c r="AS133" s="23">
        <f t="shared" ref="AS133:AS196" si="80">IF($E133="Reservoir",VLOOKUP($F133,$B$11:$D$16,2)+AQ133,AS132-AP133+AQ133)</f>
        <v>1022.759040621327</v>
      </c>
    </row>
    <row r="134" spans="5:46">
      <c r="E134" s="35" t="str">
        <f t="shared" si="65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1">F134-F133</f>
        <v>2</v>
      </c>
      <c r="I134" s="19">
        <v>2</v>
      </c>
      <c r="J134" s="36">
        <f>'Flow Rate Calculations'!$B$7</f>
        <v>4.0831050228310497</v>
      </c>
      <c r="K134" s="36">
        <f t="shared" si="66"/>
        <v>1.2996926950938155</v>
      </c>
      <c r="L134" s="37">
        <f>$I134*$K134/'Calculation Constants'!$B$7</f>
        <v>2300341.0532633904</v>
      </c>
      <c r="M134" s="37" t="str">
        <f t="shared" si="67"/>
        <v>Greater Dynamic Pressures</v>
      </c>
      <c r="N134" s="23">
        <f t="shared" si="68"/>
        <v>49.736807521638525</v>
      </c>
      <c r="O134" s="57">
        <f t="shared" si="56"/>
        <v>48.204531284084055</v>
      </c>
      <c r="P134" s="66">
        <f>MAX(I134*1000/'Calculation Constants'!$B$14,O134*10*I134*1000/2/('Calculation Constants'!$B$12*1000*'Calculation Constants'!$B$13))</f>
        <v>12.5</v>
      </c>
      <c r="Q134" s="68">
        <f t="shared" si="57"/>
        <v>1225368.3970556525</v>
      </c>
      <c r="R134" s="27">
        <f>(1/(2*LOG(3.7*$I134/'Calculation Constants'!$B$2*1000)))^2</f>
        <v>8.5984950812375404E-3</v>
      </c>
      <c r="S134" s="19">
        <f t="shared" si="69"/>
        <v>0.74029497268187827</v>
      </c>
      <c r="T134" s="19">
        <f>IF($H134&gt;0,'Calculation Constants'!$B$9*Hydraulics!$K134^2/2/9.81/MAX($F$4:$F$253)*$H134,"")</f>
        <v>5.1657526045266834E-2</v>
      </c>
      <c r="U134" s="19">
        <f t="shared" si="70"/>
        <v>0.79195249872714513</v>
      </c>
      <c r="V134" s="19">
        <f t="shared" si="58"/>
        <v>0</v>
      </c>
      <c r="W134" s="19">
        <f t="shared" si="59"/>
        <v>49.736807521638525</v>
      </c>
      <c r="X134" s="23">
        <f t="shared" si="71"/>
        <v>1030.0208075216385</v>
      </c>
      <c r="Y134" s="22">
        <f>(1/(2*LOG(3.7*$I134/'Calculation Constants'!$B$3*1000)))^2</f>
        <v>9.645396509476439E-3</v>
      </c>
      <c r="Z134" s="19">
        <f t="shared" si="60"/>
        <v>0.83042886900867496</v>
      </c>
      <c r="AA134" s="19">
        <f>IF($H134&gt;0,'Calculation Constants'!$B$9*Hydraulics!$K134^2/2/9.81/MAX($F$4:$F$253)*$H134,"")</f>
        <v>5.1657526045266834E-2</v>
      </c>
      <c r="AB134" s="19">
        <f t="shared" si="55"/>
        <v>0.88208639505394182</v>
      </c>
      <c r="AC134" s="19">
        <f t="shared" si="61"/>
        <v>0</v>
      </c>
      <c r="AD134" s="19">
        <f t="shared" si="72"/>
        <v>48.204531284084055</v>
      </c>
      <c r="AE134" s="23">
        <f t="shared" si="73"/>
        <v>1028.488531284084</v>
      </c>
      <c r="AF134" s="27">
        <f>(1/(2*LOG(3.7*$I134/'Calculation Constants'!$B$4*1000)))^2</f>
        <v>1.1350445400368435E-2</v>
      </c>
      <c r="AG134" s="19">
        <f t="shared" si="62"/>
        <v>0.97722654815818577</v>
      </c>
      <c r="AH134" s="19">
        <f>IF($H134&gt;0,'Calculation Constants'!$B$9*Hydraulics!$K134^2/2/9.81/MAX($F$4:$F$253)*$H134,"")</f>
        <v>5.1657526045266834E-2</v>
      </c>
      <c r="AI134" s="19">
        <f t="shared" si="74"/>
        <v>1.0288840742034526</v>
      </c>
      <c r="AJ134" s="19">
        <f t="shared" si="63"/>
        <v>0</v>
      </c>
      <c r="AK134" s="19">
        <f t="shared" si="75"/>
        <v>45.708970738541097</v>
      </c>
      <c r="AL134" s="23">
        <f t="shared" si="76"/>
        <v>1025.9929707385411</v>
      </c>
      <c r="AM134" s="22">
        <f>(1/(2*LOG(3.7*($I134-0.008)/'Calculation Constants'!$B$5*1000)))^2</f>
        <v>1.4387191027645335E-2</v>
      </c>
      <c r="AN134" s="19">
        <f t="shared" si="77"/>
        <v>1.243652435121851</v>
      </c>
      <c r="AO134" s="19">
        <f>IF($H134&gt;0,'Calculation Constants'!$B$9*Hydraulics!$K134^2/2/9.81/MAX($F$4:$F$253)*$H134,"")</f>
        <v>5.1657526045266834E-2</v>
      </c>
      <c r="AP134" s="19">
        <f t="shared" si="78"/>
        <v>1.2953099611671177</v>
      </c>
      <c r="AQ134" s="19">
        <f t="shared" si="64"/>
        <v>0</v>
      </c>
      <c r="AR134" s="19">
        <f t="shared" si="79"/>
        <v>41.179730660159862</v>
      </c>
      <c r="AS134" s="23">
        <f t="shared" si="80"/>
        <v>1021.4637306601599</v>
      </c>
    </row>
    <row r="135" spans="5:46">
      <c r="E135" s="35" t="str">
        <f t="shared" si="65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1"/>
        <v>2</v>
      </c>
      <c r="I135" s="19">
        <v>2</v>
      </c>
      <c r="J135" s="36">
        <f>'Flow Rate Calculations'!$B$7</f>
        <v>4.0831050228310497</v>
      </c>
      <c r="K135" s="36">
        <f t="shared" si="66"/>
        <v>1.2996926950938155</v>
      </c>
      <c r="L135" s="37">
        <f>$I135*$K135/'Calculation Constants'!$B$7</f>
        <v>2300341.0532633904</v>
      </c>
      <c r="M135" s="37" t="str">
        <f t="shared" si="67"/>
        <v>Greater Dynamic Pressures</v>
      </c>
      <c r="N135" s="23">
        <f t="shared" si="68"/>
        <v>42.677855022911331</v>
      </c>
      <c r="O135" s="57">
        <f t="shared" si="56"/>
        <v>41.055444889030127</v>
      </c>
      <c r="P135" s="66">
        <f>MAX(I135*1000/'Calculation Constants'!$B$14,O135*10*I135*1000/2/('Calculation Constants'!$B$12*1000*'Calculation Constants'!$B$13))</f>
        <v>12.5</v>
      </c>
      <c r="Q135" s="68">
        <f t="shared" si="57"/>
        <v>1225368.3970556525</v>
      </c>
      <c r="R135" s="27">
        <f>(1/(2*LOG(3.7*$I135/'Calculation Constants'!$B$2*1000)))^2</f>
        <v>8.5984950812375404E-3</v>
      </c>
      <c r="S135" s="19">
        <f t="shared" si="69"/>
        <v>0.74029497268187827</v>
      </c>
      <c r="T135" s="19">
        <f>IF($H135&gt;0,'Calculation Constants'!$B$9*Hydraulics!$K135^2/2/9.81/MAX($F$4:$F$253)*$H135,"")</f>
        <v>5.1657526045266834E-2</v>
      </c>
      <c r="U135" s="19">
        <f t="shared" si="70"/>
        <v>0.79195249872714513</v>
      </c>
      <c r="V135" s="19">
        <f t="shared" si="58"/>
        <v>0</v>
      </c>
      <c r="W135" s="19">
        <f t="shared" si="59"/>
        <v>42.677855022911331</v>
      </c>
      <c r="X135" s="23">
        <f t="shared" si="71"/>
        <v>1029.2288550229114</v>
      </c>
      <c r="Y135" s="22">
        <f>(1/(2*LOG(3.7*$I135/'Calculation Constants'!$B$3*1000)))^2</f>
        <v>9.645396509476439E-3</v>
      </c>
      <c r="Z135" s="19">
        <f t="shared" si="60"/>
        <v>0.83042886900867496</v>
      </c>
      <c r="AA135" s="19">
        <f>IF($H135&gt;0,'Calculation Constants'!$B$9*Hydraulics!$K135^2/2/9.81/MAX($F$4:$F$253)*$H135,"")</f>
        <v>5.1657526045266834E-2</v>
      </c>
      <c r="AB135" s="19">
        <f t="shared" si="55"/>
        <v>0.88208639505394182</v>
      </c>
      <c r="AC135" s="19">
        <f t="shared" si="61"/>
        <v>0</v>
      </c>
      <c r="AD135" s="19">
        <f t="shared" si="72"/>
        <v>41.055444889030127</v>
      </c>
      <c r="AE135" s="23">
        <f t="shared" si="73"/>
        <v>1027.6064448890302</v>
      </c>
      <c r="AF135" s="27">
        <f>(1/(2*LOG(3.7*$I135/'Calculation Constants'!$B$4*1000)))^2</f>
        <v>1.1350445400368435E-2</v>
      </c>
      <c r="AG135" s="19">
        <f t="shared" si="62"/>
        <v>0.97722654815818577</v>
      </c>
      <c r="AH135" s="19">
        <f>IF($H135&gt;0,'Calculation Constants'!$B$9*Hydraulics!$K135^2/2/9.81/MAX($F$4:$F$253)*$H135,"")</f>
        <v>5.1657526045266834E-2</v>
      </c>
      <c r="AI135" s="19">
        <f t="shared" si="74"/>
        <v>1.0288840742034526</v>
      </c>
      <c r="AJ135" s="19">
        <f t="shared" si="63"/>
        <v>0</v>
      </c>
      <c r="AK135" s="19">
        <f t="shared" si="75"/>
        <v>38.413086664337584</v>
      </c>
      <c r="AL135" s="23">
        <f t="shared" si="76"/>
        <v>1024.9640866643376</v>
      </c>
      <c r="AM135" s="22">
        <f>(1/(2*LOG(3.7*($I135-0.008)/'Calculation Constants'!$B$5*1000)))^2</f>
        <v>1.4387191027645335E-2</v>
      </c>
      <c r="AN135" s="19">
        <f t="shared" si="77"/>
        <v>1.243652435121851</v>
      </c>
      <c r="AO135" s="19">
        <f>IF($H135&gt;0,'Calculation Constants'!$B$9*Hydraulics!$K135^2/2/9.81/MAX($F$4:$F$253)*$H135,"")</f>
        <v>5.1657526045266834E-2</v>
      </c>
      <c r="AP135" s="19">
        <f t="shared" si="78"/>
        <v>1.2953099611671177</v>
      </c>
      <c r="AQ135" s="19">
        <f t="shared" si="64"/>
        <v>0</v>
      </c>
      <c r="AR135" s="19">
        <f t="shared" si="79"/>
        <v>33.617420698992646</v>
      </c>
      <c r="AS135" s="23">
        <f t="shared" si="80"/>
        <v>1020.1684206989927</v>
      </c>
    </row>
    <row r="136" spans="5:46">
      <c r="E136" s="35" t="str">
        <f t="shared" si="65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1"/>
        <v>2</v>
      </c>
      <c r="I136" s="19">
        <v>2</v>
      </c>
      <c r="J136" s="36">
        <f>'Flow Rate Calculations'!$B$7</f>
        <v>4.0831050228310497</v>
      </c>
      <c r="K136" s="36">
        <f t="shared" si="66"/>
        <v>1.2996926950938155</v>
      </c>
      <c r="L136" s="37">
        <f>$I136*$K136/'Calculation Constants'!$B$7</f>
        <v>2300341.0532633904</v>
      </c>
      <c r="M136" s="37" t="str">
        <f t="shared" si="67"/>
        <v>Greater Dynamic Pressures</v>
      </c>
      <c r="N136" s="23">
        <f t="shared" si="68"/>
        <v>39.238902524184255</v>
      </c>
      <c r="O136" s="57">
        <f t="shared" si="56"/>
        <v>37.526358493976318</v>
      </c>
      <c r="P136" s="66">
        <f>MAX(I136*1000/'Calculation Constants'!$B$14,O136*10*I136*1000/2/('Calculation Constants'!$B$12*1000*'Calculation Constants'!$B$13))</f>
        <v>12.5</v>
      </c>
      <c r="Q136" s="68">
        <f t="shared" si="57"/>
        <v>1225368.3970556525</v>
      </c>
      <c r="R136" s="27">
        <f>(1/(2*LOG(3.7*$I136/'Calculation Constants'!$B$2*1000)))^2</f>
        <v>8.5984950812375404E-3</v>
      </c>
      <c r="S136" s="19">
        <f t="shared" si="69"/>
        <v>0.74029497268187827</v>
      </c>
      <c r="T136" s="19">
        <f>IF($H136&gt;0,'Calculation Constants'!$B$9*Hydraulics!$K136^2/2/9.81/MAX($F$4:$F$253)*$H136,"")</f>
        <v>5.1657526045266834E-2</v>
      </c>
      <c r="U136" s="19">
        <f t="shared" si="70"/>
        <v>0.79195249872714513</v>
      </c>
      <c r="V136" s="19">
        <f t="shared" si="58"/>
        <v>0</v>
      </c>
      <c r="W136" s="19">
        <f t="shared" si="59"/>
        <v>39.238902524184255</v>
      </c>
      <c r="X136" s="23">
        <f t="shared" si="71"/>
        <v>1028.4369025241842</v>
      </c>
      <c r="Y136" s="22">
        <f>(1/(2*LOG(3.7*$I136/'Calculation Constants'!$B$3*1000)))^2</f>
        <v>9.645396509476439E-3</v>
      </c>
      <c r="Z136" s="19">
        <f t="shared" si="60"/>
        <v>0.83042886900867496</v>
      </c>
      <c r="AA136" s="19">
        <f>IF($H136&gt;0,'Calculation Constants'!$B$9*Hydraulics!$K136^2/2/9.81/MAX($F$4:$F$253)*$H136,"")</f>
        <v>5.1657526045266834E-2</v>
      </c>
      <c r="AB136" s="19">
        <f t="shared" ref="AB136:AB199" si="82">IF(Z136="",0,Z136+AA136)</f>
        <v>0.88208639505394182</v>
      </c>
      <c r="AC136" s="19">
        <f t="shared" si="61"/>
        <v>0</v>
      </c>
      <c r="AD136" s="19">
        <f t="shared" si="72"/>
        <v>37.526358493976318</v>
      </c>
      <c r="AE136" s="23">
        <f t="shared" si="73"/>
        <v>1026.7243584939763</v>
      </c>
      <c r="AF136" s="27">
        <f>(1/(2*LOG(3.7*$I136/'Calculation Constants'!$B$4*1000)))^2</f>
        <v>1.1350445400368435E-2</v>
      </c>
      <c r="AG136" s="19">
        <f t="shared" si="62"/>
        <v>0.97722654815818577</v>
      </c>
      <c r="AH136" s="19">
        <f>IF($H136&gt;0,'Calculation Constants'!$B$9*Hydraulics!$K136^2/2/9.81/MAX($F$4:$F$253)*$H136,"")</f>
        <v>5.1657526045266834E-2</v>
      </c>
      <c r="AI136" s="19">
        <f t="shared" si="74"/>
        <v>1.0288840742034526</v>
      </c>
      <c r="AJ136" s="19">
        <f t="shared" si="63"/>
        <v>0</v>
      </c>
      <c r="AK136" s="19">
        <f t="shared" si="75"/>
        <v>34.737202590134189</v>
      </c>
      <c r="AL136" s="23">
        <f t="shared" si="76"/>
        <v>1023.9352025901342</v>
      </c>
      <c r="AM136" s="22">
        <f>(1/(2*LOG(3.7*($I136-0.008)/'Calculation Constants'!$B$5*1000)))^2</f>
        <v>1.4387191027645335E-2</v>
      </c>
      <c r="AN136" s="19">
        <f t="shared" si="77"/>
        <v>1.243652435121851</v>
      </c>
      <c r="AO136" s="19">
        <f>IF($H136&gt;0,'Calculation Constants'!$B$9*Hydraulics!$K136^2/2/9.81/MAX($F$4:$F$253)*$H136,"")</f>
        <v>5.1657526045266834E-2</v>
      </c>
      <c r="AP136" s="19">
        <f t="shared" si="78"/>
        <v>1.2953099611671177</v>
      </c>
      <c r="AQ136" s="19">
        <f t="shared" si="64"/>
        <v>0</v>
      </c>
      <c r="AR136" s="19">
        <f t="shared" si="79"/>
        <v>29.675110737825548</v>
      </c>
      <c r="AS136" s="23">
        <f t="shared" si="80"/>
        <v>1018.8731107378255</v>
      </c>
    </row>
    <row r="137" spans="5:46">
      <c r="E137" s="35" t="str">
        <f t="shared" si="65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1"/>
        <v>2</v>
      </c>
      <c r="I137" s="19">
        <v>2</v>
      </c>
      <c r="J137" s="36">
        <f>'Flow Rate Calculations'!$B$7</f>
        <v>4.0831050228310497</v>
      </c>
      <c r="K137" s="36">
        <f t="shared" si="66"/>
        <v>1.2996926950938155</v>
      </c>
      <c r="L137" s="37">
        <f>$I137*$K137/'Calculation Constants'!$B$7</f>
        <v>2300341.0532633904</v>
      </c>
      <c r="M137" s="37" t="str">
        <f t="shared" si="67"/>
        <v>Greater Dynamic Pressures</v>
      </c>
      <c r="N137" s="23">
        <f t="shared" si="68"/>
        <v>33.254950025457106</v>
      </c>
      <c r="O137" s="57">
        <f t="shared" si="56"/>
        <v>31.452272098922435</v>
      </c>
      <c r="P137" s="66">
        <f>MAX(I137*1000/'Calculation Constants'!$B$14,O137*10*I137*1000/2/('Calculation Constants'!$B$12*1000*'Calculation Constants'!$B$13))</f>
        <v>12.5</v>
      </c>
      <c r="Q137" s="68">
        <f t="shared" si="57"/>
        <v>1225368.3970556525</v>
      </c>
      <c r="R137" s="27">
        <f>(1/(2*LOG(3.7*$I137/'Calculation Constants'!$B$2*1000)))^2</f>
        <v>8.5984950812375404E-3</v>
      </c>
      <c r="S137" s="19">
        <f t="shared" si="69"/>
        <v>0.74029497268187827</v>
      </c>
      <c r="T137" s="19">
        <f>IF($H137&gt;0,'Calculation Constants'!$B$9*Hydraulics!$K137^2/2/9.81/MAX($F$4:$F$253)*$H137,"")</f>
        <v>5.1657526045266834E-2</v>
      </c>
      <c r="U137" s="19">
        <f t="shared" si="70"/>
        <v>0.79195249872714513</v>
      </c>
      <c r="V137" s="19">
        <f t="shared" si="58"/>
        <v>0</v>
      </c>
      <c r="W137" s="19">
        <f t="shared" si="59"/>
        <v>33.254950025457106</v>
      </c>
      <c r="X137" s="23">
        <f t="shared" si="71"/>
        <v>1027.6449500254571</v>
      </c>
      <c r="Y137" s="22">
        <f>(1/(2*LOG(3.7*$I137/'Calculation Constants'!$B$3*1000)))^2</f>
        <v>9.645396509476439E-3</v>
      </c>
      <c r="Z137" s="19">
        <f t="shared" si="60"/>
        <v>0.83042886900867496</v>
      </c>
      <c r="AA137" s="19">
        <f>IF($H137&gt;0,'Calculation Constants'!$B$9*Hydraulics!$K137^2/2/9.81/MAX($F$4:$F$253)*$H137,"")</f>
        <v>5.1657526045266834E-2</v>
      </c>
      <c r="AB137" s="19">
        <f t="shared" si="82"/>
        <v>0.88208639505394182</v>
      </c>
      <c r="AC137" s="19">
        <f t="shared" si="61"/>
        <v>0</v>
      </c>
      <c r="AD137" s="19">
        <f t="shared" si="72"/>
        <v>31.452272098922435</v>
      </c>
      <c r="AE137" s="23">
        <f t="shared" si="73"/>
        <v>1025.8422720989224</v>
      </c>
      <c r="AF137" s="27">
        <f>(1/(2*LOG(3.7*$I137/'Calculation Constants'!$B$4*1000)))^2</f>
        <v>1.1350445400368435E-2</v>
      </c>
      <c r="AG137" s="19">
        <f t="shared" si="62"/>
        <v>0.97722654815818577</v>
      </c>
      <c r="AH137" s="19">
        <f>IF($H137&gt;0,'Calculation Constants'!$B$9*Hydraulics!$K137^2/2/9.81/MAX($F$4:$F$253)*$H137,"")</f>
        <v>5.1657526045266834E-2</v>
      </c>
      <c r="AI137" s="19">
        <f t="shared" si="74"/>
        <v>1.0288840742034526</v>
      </c>
      <c r="AJ137" s="19">
        <f t="shared" si="63"/>
        <v>0</v>
      </c>
      <c r="AK137" s="19">
        <f t="shared" si="75"/>
        <v>28.51631851593072</v>
      </c>
      <c r="AL137" s="23">
        <f t="shared" si="76"/>
        <v>1022.9063185159307</v>
      </c>
      <c r="AM137" s="22">
        <f>(1/(2*LOG(3.7*($I137-0.008)/'Calculation Constants'!$B$5*1000)))^2</f>
        <v>1.4387191027645335E-2</v>
      </c>
      <c r="AN137" s="19">
        <f t="shared" si="77"/>
        <v>1.243652435121851</v>
      </c>
      <c r="AO137" s="19">
        <f>IF($H137&gt;0,'Calculation Constants'!$B$9*Hydraulics!$K137^2/2/9.81/MAX($F$4:$F$253)*$H137,"")</f>
        <v>5.1657526045266834E-2</v>
      </c>
      <c r="AP137" s="19">
        <f t="shared" si="78"/>
        <v>1.2953099611671177</v>
      </c>
      <c r="AQ137" s="19">
        <f t="shared" si="64"/>
        <v>0</v>
      </c>
      <c r="AR137" s="19">
        <f t="shared" si="79"/>
        <v>23.187800776658378</v>
      </c>
      <c r="AS137" s="23">
        <f t="shared" si="80"/>
        <v>1017.5778007766584</v>
      </c>
    </row>
    <row r="138" spans="5:46">
      <c r="E138" s="35" t="str">
        <f t="shared" si="65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1"/>
        <v>2</v>
      </c>
      <c r="I138" s="19">
        <v>2</v>
      </c>
      <c r="J138" s="36">
        <f>'Flow Rate Calculations'!$B$7</f>
        <v>4.0831050228310497</v>
      </c>
      <c r="K138" s="36">
        <f t="shared" si="66"/>
        <v>1.2996926950938155</v>
      </c>
      <c r="L138" s="37">
        <f>$I138*$K138/'Calculation Constants'!$B$7</f>
        <v>2300341.0532633904</v>
      </c>
      <c r="M138" s="37" t="str">
        <f t="shared" si="67"/>
        <v>Greater Dynamic Pressures</v>
      </c>
      <c r="N138" s="23">
        <f t="shared" si="68"/>
        <v>26.935997526729921</v>
      </c>
      <c r="O138" s="57">
        <f t="shared" si="56"/>
        <v>25.043185703868517</v>
      </c>
      <c r="P138" s="66">
        <f>MAX(I138*1000/'Calculation Constants'!$B$14,O138*10*I138*1000/2/('Calculation Constants'!$B$12*1000*'Calculation Constants'!$B$13))</f>
        <v>12.5</v>
      </c>
      <c r="Q138" s="68">
        <f t="shared" si="57"/>
        <v>1225368.3970556525</v>
      </c>
      <c r="R138" s="27">
        <f>(1/(2*LOG(3.7*$I138/'Calculation Constants'!$B$2*1000)))^2</f>
        <v>8.5984950812375404E-3</v>
      </c>
      <c r="S138" s="19">
        <f t="shared" si="69"/>
        <v>0.74029497268187827</v>
      </c>
      <c r="T138" s="19">
        <f>IF($H138&gt;0,'Calculation Constants'!$B$9*Hydraulics!$K138^2/2/9.81/MAX($F$4:$F$253)*$H138,"")</f>
        <v>5.1657526045266834E-2</v>
      </c>
      <c r="U138" s="19">
        <f t="shared" si="70"/>
        <v>0.79195249872714513</v>
      </c>
      <c r="V138" s="19">
        <f t="shared" si="58"/>
        <v>0</v>
      </c>
      <c r="W138" s="19">
        <f t="shared" si="59"/>
        <v>26.935997526729921</v>
      </c>
      <c r="X138" s="23">
        <f t="shared" si="71"/>
        <v>1026.85299752673</v>
      </c>
      <c r="Y138" s="22">
        <f>(1/(2*LOG(3.7*$I138/'Calculation Constants'!$B$3*1000)))^2</f>
        <v>9.645396509476439E-3</v>
      </c>
      <c r="Z138" s="19">
        <f t="shared" si="60"/>
        <v>0.83042886900867496</v>
      </c>
      <c r="AA138" s="19">
        <f>IF($H138&gt;0,'Calculation Constants'!$B$9*Hydraulics!$K138^2/2/9.81/MAX($F$4:$F$253)*$H138,"")</f>
        <v>5.1657526045266834E-2</v>
      </c>
      <c r="AB138" s="19">
        <f t="shared" si="82"/>
        <v>0.88208639505394182</v>
      </c>
      <c r="AC138" s="19">
        <f t="shared" si="61"/>
        <v>0</v>
      </c>
      <c r="AD138" s="19">
        <f t="shared" si="72"/>
        <v>25.043185703868517</v>
      </c>
      <c r="AE138" s="23">
        <f t="shared" si="73"/>
        <v>1024.9601857038685</v>
      </c>
      <c r="AF138" s="27">
        <f>(1/(2*LOG(3.7*$I138/'Calculation Constants'!$B$4*1000)))^2</f>
        <v>1.1350445400368435E-2</v>
      </c>
      <c r="AG138" s="19">
        <f t="shared" si="62"/>
        <v>0.97722654815818577</v>
      </c>
      <c r="AH138" s="19">
        <f>IF($H138&gt;0,'Calculation Constants'!$B$9*Hydraulics!$K138^2/2/9.81/MAX($F$4:$F$253)*$H138,"")</f>
        <v>5.1657526045266834E-2</v>
      </c>
      <c r="AI138" s="19">
        <f t="shared" si="74"/>
        <v>1.0288840742034526</v>
      </c>
      <c r="AJ138" s="19">
        <f t="shared" si="63"/>
        <v>0</v>
      </c>
      <c r="AK138" s="19">
        <f t="shared" si="75"/>
        <v>21.960434441727216</v>
      </c>
      <c r="AL138" s="23">
        <f t="shared" si="76"/>
        <v>1021.8774344417272</v>
      </c>
      <c r="AM138" s="22">
        <f>(1/(2*LOG(3.7*($I138-0.008)/'Calculation Constants'!$B$5*1000)))^2</f>
        <v>1.4387191027645335E-2</v>
      </c>
      <c r="AN138" s="19">
        <f t="shared" si="77"/>
        <v>1.243652435121851</v>
      </c>
      <c r="AO138" s="19">
        <f>IF($H138&gt;0,'Calculation Constants'!$B$9*Hydraulics!$K138^2/2/9.81/MAX($F$4:$F$253)*$H138,"")</f>
        <v>5.1657526045266834E-2</v>
      </c>
      <c r="AP138" s="19">
        <f t="shared" si="78"/>
        <v>1.2953099611671177</v>
      </c>
      <c r="AQ138" s="19">
        <f t="shared" si="64"/>
        <v>0</v>
      </c>
      <c r="AR138" s="19">
        <f t="shared" si="79"/>
        <v>16.365490815491171</v>
      </c>
      <c r="AS138" s="23">
        <f t="shared" si="80"/>
        <v>1016.2824908154912</v>
      </c>
    </row>
    <row r="139" spans="5:46">
      <c r="E139" s="35" t="str">
        <f t="shared" si="65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1"/>
        <v>2</v>
      </c>
      <c r="I139" s="19">
        <v>2</v>
      </c>
      <c r="J139" s="36">
        <f>'Flow Rate Calculations'!$B$7</f>
        <v>4.0831050228310497</v>
      </c>
      <c r="K139" s="36">
        <f t="shared" si="66"/>
        <v>1.2996926950938155</v>
      </c>
      <c r="L139" s="37">
        <f>$I139*$K139/'Calculation Constants'!$B$7</f>
        <v>2300341.0532633904</v>
      </c>
      <c r="M139" s="37" t="str">
        <f t="shared" si="67"/>
        <v>Greater Dynamic Pressures</v>
      </c>
      <c r="N139" s="23">
        <f t="shared" si="68"/>
        <v>21.438045028002762</v>
      </c>
      <c r="O139" s="57">
        <f t="shared" si="56"/>
        <v>19.455099308814624</v>
      </c>
      <c r="P139" s="66">
        <f>MAX(I139*1000/'Calculation Constants'!$B$14,O139*10*I139*1000/2/('Calculation Constants'!$B$12*1000*'Calculation Constants'!$B$13))</f>
        <v>12.5</v>
      </c>
      <c r="Q139" s="68">
        <f t="shared" si="57"/>
        <v>1225368.3970556525</v>
      </c>
      <c r="R139" s="27">
        <f>(1/(2*LOG(3.7*$I139/'Calculation Constants'!$B$2*1000)))^2</f>
        <v>8.5984950812375404E-3</v>
      </c>
      <c r="S139" s="19">
        <f t="shared" si="69"/>
        <v>0.74029497268187827</v>
      </c>
      <c r="T139" s="19">
        <f>IF($H139&gt;0,'Calculation Constants'!$B$9*Hydraulics!$K139^2/2/9.81/MAX($F$4:$F$253)*$H139,"")</f>
        <v>5.1657526045266834E-2</v>
      </c>
      <c r="U139" s="19">
        <f t="shared" si="70"/>
        <v>0.79195249872714513</v>
      </c>
      <c r="V139" s="19">
        <f t="shared" si="58"/>
        <v>0</v>
      </c>
      <c r="W139" s="19">
        <f t="shared" si="59"/>
        <v>21.438045028002762</v>
      </c>
      <c r="X139" s="23">
        <f t="shared" si="71"/>
        <v>1026.0610450280028</v>
      </c>
      <c r="Y139" s="22">
        <f>(1/(2*LOG(3.7*$I139/'Calculation Constants'!$B$3*1000)))^2</f>
        <v>9.645396509476439E-3</v>
      </c>
      <c r="Z139" s="19">
        <f t="shared" si="60"/>
        <v>0.83042886900867496</v>
      </c>
      <c r="AA139" s="19">
        <f>IF($H139&gt;0,'Calculation Constants'!$B$9*Hydraulics!$K139^2/2/9.81/MAX($F$4:$F$253)*$H139,"")</f>
        <v>5.1657526045266834E-2</v>
      </c>
      <c r="AB139" s="19">
        <f t="shared" si="82"/>
        <v>0.88208639505394182</v>
      </c>
      <c r="AC139" s="19">
        <f t="shared" si="61"/>
        <v>0</v>
      </c>
      <c r="AD139" s="19">
        <f t="shared" si="72"/>
        <v>19.455099308814624</v>
      </c>
      <c r="AE139" s="23">
        <f t="shared" si="73"/>
        <v>1024.0780993088147</v>
      </c>
      <c r="AF139" s="27">
        <f>(1/(2*LOG(3.7*$I139/'Calculation Constants'!$B$4*1000)))^2</f>
        <v>1.1350445400368435E-2</v>
      </c>
      <c r="AG139" s="19">
        <f t="shared" si="62"/>
        <v>0.97722654815818577</v>
      </c>
      <c r="AH139" s="19">
        <f>IF($H139&gt;0,'Calculation Constants'!$B$9*Hydraulics!$K139^2/2/9.81/MAX($F$4:$F$253)*$H139,"")</f>
        <v>5.1657526045266834E-2</v>
      </c>
      <c r="AI139" s="19">
        <f t="shared" si="74"/>
        <v>1.0288840742034526</v>
      </c>
      <c r="AJ139" s="19">
        <f t="shared" si="63"/>
        <v>0</v>
      </c>
      <c r="AK139" s="19">
        <f t="shared" si="75"/>
        <v>16.225550367523738</v>
      </c>
      <c r="AL139" s="23">
        <f t="shared" si="76"/>
        <v>1020.8485503675238</v>
      </c>
      <c r="AM139" s="22">
        <f>(1/(2*LOG(3.7*($I139-0.008)/'Calculation Constants'!$B$5*1000)))^2</f>
        <v>1.4387191027645335E-2</v>
      </c>
      <c r="AN139" s="19">
        <f t="shared" si="77"/>
        <v>1.243652435121851</v>
      </c>
      <c r="AO139" s="19">
        <f>IF($H139&gt;0,'Calculation Constants'!$B$9*Hydraulics!$K139^2/2/9.81/MAX($F$4:$F$253)*$H139,"")</f>
        <v>5.1657526045266834E-2</v>
      </c>
      <c r="AP139" s="19">
        <f t="shared" si="78"/>
        <v>1.2953099611671177</v>
      </c>
      <c r="AQ139" s="19">
        <f t="shared" si="64"/>
        <v>0</v>
      </c>
      <c r="AR139" s="19">
        <f t="shared" si="79"/>
        <v>10.36418085432399</v>
      </c>
      <c r="AS139" s="23">
        <f t="shared" si="80"/>
        <v>1014.987180854324</v>
      </c>
      <c r="AT139" s="11">
        <f>AS139-AP139</f>
        <v>1013.6918708931569</v>
      </c>
    </row>
    <row r="140" spans="5:46">
      <c r="E140" s="35" t="str">
        <f t="shared" si="65"/>
        <v>Reservoir</v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1"/>
        <v>2</v>
      </c>
      <c r="I140" s="19">
        <v>2</v>
      </c>
      <c r="J140" s="36">
        <f>'Flow Rate Calculations'!$B$7</f>
        <v>4.0831050228310497</v>
      </c>
      <c r="K140" s="36">
        <f t="shared" si="66"/>
        <v>1.2996926950938155</v>
      </c>
      <c r="L140" s="37">
        <f>$I140*$K140/'Calculation Constants'!$B$7</f>
        <v>2300341.0532633904</v>
      </c>
      <c r="M140" s="37" t="str">
        <f t="shared" si="67"/>
        <v>Greater Dynamic Pressures</v>
      </c>
      <c r="N140" s="23">
        <f t="shared" si="68"/>
        <v>10</v>
      </c>
      <c r="O140" s="57">
        <f t="shared" si="56"/>
        <v>175</v>
      </c>
      <c r="P140" s="66">
        <f>MAX(I140*1000/'Calculation Constants'!$B$14,O140*10*I140*1000/2/('Calculation Constants'!$B$12*1000*'Calculation Constants'!$B$13))</f>
        <v>12.5</v>
      </c>
      <c r="Q140" s="68">
        <f t="shared" si="57"/>
        <v>1225368.3970556525</v>
      </c>
      <c r="R140" s="27">
        <f>(1/(2*LOG(3.7*$I140/'Calculation Constants'!$B$2*1000)))^2</f>
        <v>8.5984950812375404E-3</v>
      </c>
      <c r="S140" s="19">
        <f t="shared" si="69"/>
        <v>0.74029497268187827</v>
      </c>
      <c r="T140" s="19">
        <f>IF($H140&gt;0,'Calculation Constants'!$B$9*Hydraulics!$K140^2/2/9.81/MAX($F$4:$F$253)*$H140,"")</f>
        <v>5.1657526045266834E-2</v>
      </c>
      <c r="U140" s="19">
        <f t="shared" si="70"/>
        <v>0.79195249872714513</v>
      </c>
      <c r="V140" s="19">
        <f t="shared" si="58"/>
        <v>165</v>
      </c>
      <c r="W140" s="19">
        <f t="shared" si="59"/>
        <v>10</v>
      </c>
      <c r="X140" s="23">
        <f t="shared" si="71"/>
        <v>1183.819</v>
      </c>
      <c r="Y140" s="22">
        <f>(1/(2*LOG(3.7*$I140/'Calculation Constants'!$B$3*1000)))^2</f>
        <v>9.645396509476439E-3</v>
      </c>
      <c r="Z140" s="19">
        <f t="shared" si="60"/>
        <v>0.83042886900867496</v>
      </c>
      <c r="AA140" s="19">
        <f>IF($H140&gt;0,'Calculation Constants'!$B$9*Hydraulics!$K140^2/2/9.81/MAX($F$4:$F$253)*$H140,"")</f>
        <v>5.1657526045266834E-2</v>
      </c>
      <c r="AB140" s="19">
        <f t="shared" si="82"/>
        <v>0.88208639505394182</v>
      </c>
      <c r="AC140" s="19">
        <f t="shared" si="61"/>
        <v>165</v>
      </c>
      <c r="AD140" s="19">
        <f t="shared" si="72"/>
        <v>175</v>
      </c>
      <c r="AE140" s="23">
        <f t="shared" si="73"/>
        <v>1183.819</v>
      </c>
      <c r="AF140" s="27">
        <f>(1/(2*LOG(3.7*$I140/'Calculation Constants'!$B$4*1000)))^2</f>
        <v>1.1350445400368435E-2</v>
      </c>
      <c r="AG140" s="19">
        <f t="shared" si="62"/>
        <v>0.97722654815818577</v>
      </c>
      <c r="AH140" s="19">
        <f>IF($H140&gt;0,'Calculation Constants'!$B$9*Hydraulics!$K140^2/2/9.81/MAX($F$4:$F$253)*$H140,"")</f>
        <v>5.1657526045266834E-2</v>
      </c>
      <c r="AI140" s="19">
        <f t="shared" si="74"/>
        <v>1.0288840742034526</v>
      </c>
      <c r="AJ140" s="19">
        <f t="shared" si="63"/>
        <v>165</v>
      </c>
      <c r="AK140" s="19">
        <f t="shared" si="75"/>
        <v>175</v>
      </c>
      <c r="AL140" s="23">
        <f t="shared" si="76"/>
        <v>1183.819</v>
      </c>
      <c r="AM140" s="22">
        <f>(1/(2*LOG(3.7*($I140-0.008)/'Calculation Constants'!$B$5*1000)))^2</f>
        <v>1.4387191027645335E-2</v>
      </c>
      <c r="AN140" s="19">
        <f t="shared" si="77"/>
        <v>1.243652435121851</v>
      </c>
      <c r="AO140" s="19">
        <f>IF($H140&gt;0,'Calculation Constants'!$B$9*Hydraulics!$K140^2/2/9.81/MAX($F$4:$F$253)*$H140,"")</f>
        <v>5.1657526045266834E-2</v>
      </c>
      <c r="AP140" s="19">
        <f t="shared" si="78"/>
        <v>1.2953099611671177</v>
      </c>
      <c r="AQ140" s="19">
        <f t="shared" si="64"/>
        <v>165</v>
      </c>
      <c r="AR140" s="19">
        <f t="shared" si="79"/>
        <v>175</v>
      </c>
      <c r="AS140" s="23">
        <f t="shared" si="80"/>
        <v>1183.819</v>
      </c>
      <c r="AT140" s="11">
        <f>AS140-AT139</f>
        <v>170.12712910684309</v>
      </c>
    </row>
    <row r="141" spans="5:46">
      <c r="E141" s="35" t="str">
        <f t="shared" si="65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1"/>
        <v>2</v>
      </c>
      <c r="I141" s="19">
        <v>2</v>
      </c>
      <c r="J141" s="36">
        <f>'Flow Rate Calculations'!$B$7</f>
        <v>4.0831050228310497</v>
      </c>
      <c r="K141" s="36">
        <f t="shared" si="66"/>
        <v>1.2996926950938155</v>
      </c>
      <c r="L141" s="37">
        <f>$I141*$K141/'Calculation Constants'!$B$7</f>
        <v>2300341.0532633904</v>
      </c>
      <c r="M141" s="37" t="str">
        <f t="shared" si="67"/>
        <v>Greater Dynamic Pressures</v>
      </c>
      <c r="N141" s="23">
        <f t="shared" si="68"/>
        <v>175.19304750127287</v>
      </c>
      <c r="O141" s="57">
        <f t="shared" si="56"/>
        <v>175.10291360494614</v>
      </c>
      <c r="P141" s="66">
        <f>MAX(I141*1000/'Calculation Constants'!$B$14,O141*10*I141*1000/2/('Calculation Constants'!$B$12*1000*'Calculation Constants'!$B$13))</f>
        <v>12.5</v>
      </c>
      <c r="Q141" s="68">
        <f t="shared" si="57"/>
        <v>1225368.3970556525</v>
      </c>
      <c r="R141" s="27">
        <f>(1/(2*LOG(3.7*$I141/'Calculation Constants'!$B$2*1000)))^2</f>
        <v>8.5984950812375404E-3</v>
      </c>
      <c r="S141" s="19">
        <f t="shared" si="69"/>
        <v>0.74029497268187827</v>
      </c>
      <c r="T141" s="19">
        <f>IF($H141&gt;0,'Calculation Constants'!$B$9*Hydraulics!$K141^2/2/9.81/MAX($F$4:$F$253)*$H141,"")</f>
        <v>5.1657526045266834E-2</v>
      </c>
      <c r="U141" s="19">
        <f t="shared" si="70"/>
        <v>0.79195249872714513</v>
      </c>
      <c r="V141" s="19">
        <f t="shared" si="58"/>
        <v>0</v>
      </c>
      <c r="W141" s="19">
        <f t="shared" si="59"/>
        <v>175.19304750127287</v>
      </c>
      <c r="X141" s="23">
        <f t="shared" si="71"/>
        <v>1183.0270475012728</v>
      </c>
      <c r="Y141" s="22">
        <f>(1/(2*LOG(3.7*$I141/'Calculation Constants'!$B$3*1000)))^2</f>
        <v>9.645396509476439E-3</v>
      </c>
      <c r="Z141" s="19">
        <f t="shared" si="60"/>
        <v>0.83042886900867496</v>
      </c>
      <c r="AA141" s="19">
        <f>IF($H141&gt;0,'Calculation Constants'!$B$9*Hydraulics!$K141^2/2/9.81/MAX($F$4:$F$253)*$H141,"")</f>
        <v>5.1657526045266834E-2</v>
      </c>
      <c r="AB141" s="19">
        <f t="shared" si="82"/>
        <v>0.88208639505394182</v>
      </c>
      <c r="AC141" s="19">
        <f t="shared" si="61"/>
        <v>0</v>
      </c>
      <c r="AD141" s="19">
        <f t="shared" si="72"/>
        <v>175.10291360494614</v>
      </c>
      <c r="AE141" s="23">
        <f t="shared" si="73"/>
        <v>1182.9369136049461</v>
      </c>
      <c r="AF141" s="27">
        <f>(1/(2*LOG(3.7*$I141/'Calculation Constants'!$B$4*1000)))^2</f>
        <v>1.1350445400368435E-2</v>
      </c>
      <c r="AG141" s="19">
        <f t="shared" si="62"/>
        <v>0.97722654815818577</v>
      </c>
      <c r="AH141" s="19">
        <f>IF($H141&gt;0,'Calculation Constants'!$B$9*Hydraulics!$K141^2/2/9.81/MAX($F$4:$F$253)*$H141,"")</f>
        <v>5.1657526045266834E-2</v>
      </c>
      <c r="AI141" s="19">
        <f t="shared" si="74"/>
        <v>1.0288840742034526</v>
      </c>
      <c r="AJ141" s="19">
        <f t="shared" si="63"/>
        <v>0</v>
      </c>
      <c r="AK141" s="19">
        <f t="shared" si="75"/>
        <v>174.95611592579655</v>
      </c>
      <c r="AL141" s="23">
        <f t="shared" si="76"/>
        <v>1182.7901159257965</v>
      </c>
      <c r="AM141" s="22">
        <f>(1/(2*LOG(3.7*($I141-0.008)/'Calculation Constants'!$B$5*1000)))^2</f>
        <v>1.4387191027645335E-2</v>
      </c>
      <c r="AN141" s="19">
        <f t="shared" si="77"/>
        <v>1.243652435121851</v>
      </c>
      <c r="AO141" s="19">
        <f>IF($H141&gt;0,'Calculation Constants'!$B$9*Hydraulics!$K141^2/2/9.81/MAX($F$4:$F$253)*$H141,"")</f>
        <v>5.1657526045266834E-2</v>
      </c>
      <c r="AP141" s="19">
        <f t="shared" si="78"/>
        <v>1.2953099611671177</v>
      </c>
      <c r="AQ141" s="19">
        <f t="shared" si="64"/>
        <v>0</v>
      </c>
      <c r="AR141" s="19">
        <f t="shared" si="79"/>
        <v>174.68969003883296</v>
      </c>
      <c r="AS141" s="23">
        <f t="shared" si="80"/>
        <v>1182.5236900388329</v>
      </c>
    </row>
    <row r="142" spans="5:46">
      <c r="E142" s="35" t="str">
        <f t="shared" si="65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1"/>
        <v>2</v>
      </c>
      <c r="I142" s="19">
        <v>2</v>
      </c>
      <c r="J142" s="36">
        <f>'Flow Rate Calculations'!$B$7</f>
        <v>4.0831050228310497</v>
      </c>
      <c r="K142" s="36">
        <f t="shared" si="66"/>
        <v>1.2996926950938155</v>
      </c>
      <c r="L142" s="37">
        <f>$I142*$K142/'Calculation Constants'!$B$7</f>
        <v>2300341.0532633904</v>
      </c>
      <c r="M142" s="37" t="str">
        <f t="shared" si="67"/>
        <v>Greater Dynamic Pressures</v>
      </c>
      <c r="N142" s="23">
        <f t="shared" si="68"/>
        <v>176.6090950025457</v>
      </c>
      <c r="O142" s="57">
        <f t="shared" si="56"/>
        <v>176.42882720989223</v>
      </c>
      <c r="P142" s="66">
        <f>MAX(I142*1000/'Calculation Constants'!$B$14,O142*10*I142*1000/2/('Calculation Constants'!$B$12*1000*'Calculation Constants'!$B$13))</f>
        <v>12.5</v>
      </c>
      <c r="Q142" s="68">
        <f t="shared" si="57"/>
        <v>1225368.3970556525</v>
      </c>
      <c r="R142" s="27">
        <f>(1/(2*LOG(3.7*$I142/'Calculation Constants'!$B$2*1000)))^2</f>
        <v>8.5984950812375404E-3</v>
      </c>
      <c r="S142" s="19">
        <f t="shared" si="69"/>
        <v>0.74029497268187827</v>
      </c>
      <c r="T142" s="19">
        <f>IF($H142&gt;0,'Calculation Constants'!$B$9*Hydraulics!$K142^2/2/9.81/MAX($F$4:$F$253)*$H142,"")</f>
        <v>5.1657526045266834E-2</v>
      </c>
      <c r="U142" s="19">
        <f t="shared" si="70"/>
        <v>0.79195249872714513</v>
      </c>
      <c r="V142" s="19">
        <f t="shared" si="58"/>
        <v>0</v>
      </c>
      <c r="W142" s="19">
        <f t="shared" si="59"/>
        <v>176.6090950025457</v>
      </c>
      <c r="X142" s="23">
        <f t="shared" si="71"/>
        <v>1182.2350950025457</v>
      </c>
      <c r="Y142" s="22">
        <f>(1/(2*LOG(3.7*$I142/'Calculation Constants'!$B$3*1000)))^2</f>
        <v>9.645396509476439E-3</v>
      </c>
      <c r="Z142" s="19">
        <f t="shared" si="60"/>
        <v>0.83042886900867496</v>
      </c>
      <c r="AA142" s="19">
        <f>IF($H142&gt;0,'Calculation Constants'!$B$9*Hydraulics!$K142^2/2/9.81/MAX($F$4:$F$253)*$H142,"")</f>
        <v>5.1657526045266834E-2</v>
      </c>
      <c r="AB142" s="19">
        <f t="shared" si="82"/>
        <v>0.88208639505394182</v>
      </c>
      <c r="AC142" s="19">
        <f t="shared" si="61"/>
        <v>0</v>
      </c>
      <c r="AD142" s="19">
        <f t="shared" si="72"/>
        <v>176.42882720989223</v>
      </c>
      <c r="AE142" s="23">
        <f t="shared" si="73"/>
        <v>1182.0548272098922</v>
      </c>
      <c r="AF142" s="27">
        <f>(1/(2*LOG(3.7*$I142/'Calculation Constants'!$B$4*1000)))^2</f>
        <v>1.1350445400368435E-2</v>
      </c>
      <c r="AG142" s="19">
        <f t="shared" si="62"/>
        <v>0.97722654815818577</v>
      </c>
      <c r="AH142" s="19">
        <f>IF($H142&gt;0,'Calculation Constants'!$B$9*Hydraulics!$K142^2/2/9.81/MAX($F$4:$F$253)*$H142,"")</f>
        <v>5.1657526045266834E-2</v>
      </c>
      <c r="AI142" s="19">
        <f t="shared" si="74"/>
        <v>1.0288840742034526</v>
      </c>
      <c r="AJ142" s="19">
        <f t="shared" si="63"/>
        <v>0</v>
      </c>
      <c r="AK142" s="19">
        <f t="shared" si="75"/>
        <v>176.13523185159306</v>
      </c>
      <c r="AL142" s="23">
        <f t="shared" si="76"/>
        <v>1181.761231851593</v>
      </c>
      <c r="AM142" s="22">
        <f>(1/(2*LOG(3.7*($I142-0.008)/'Calculation Constants'!$B$5*1000)))^2</f>
        <v>1.4387191027645335E-2</v>
      </c>
      <c r="AN142" s="19">
        <f t="shared" si="77"/>
        <v>1.243652435121851</v>
      </c>
      <c r="AO142" s="19">
        <f>IF($H142&gt;0,'Calculation Constants'!$B$9*Hydraulics!$K142^2/2/9.81/MAX($F$4:$F$253)*$H142,"")</f>
        <v>5.1657526045266834E-2</v>
      </c>
      <c r="AP142" s="19">
        <f t="shared" si="78"/>
        <v>1.2953099611671177</v>
      </c>
      <c r="AQ142" s="19">
        <f t="shared" si="64"/>
        <v>0</v>
      </c>
      <c r="AR142" s="19">
        <f t="shared" si="79"/>
        <v>175.60238007766588</v>
      </c>
      <c r="AS142" s="23">
        <f t="shared" si="80"/>
        <v>1181.2283800776659</v>
      </c>
    </row>
    <row r="143" spans="5:46">
      <c r="E143" s="35" t="str">
        <f t="shared" si="65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1"/>
        <v>2</v>
      </c>
      <c r="I143" s="19">
        <v>2</v>
      </c>
      <c r="J143" s="36">
        <f>'Flow Rate Calculations'!$B$7</f>
        <v>4.0831050228310497</v>
      </c>
      <c r="K143" s="36">
        <f t="shared" si="66"/>
        <v>1.2996926950938155</v>
      </c>
      <c r="L143" s="37">
        <f>$I143*$K143/'Calculation Constants'!$B$7</f>
        <v>2300341.0532633904</v>
      </c>
      <c r="M143" s="37" t="str">
        <f t="shared" si="67"/>
        <v>Greater Dynamic Pressures</v>
      </c>
      <c r="N143" s="23">
        <f t="shared" si="68"/>
        <v>179.82014250381849</v>
      </c>
      <c r="O143" s="57">
        <f t="shared" si="56"/>
        <v>179.54974081483829</v>
      </c>
      <c r="P143" s="66">
        <f>MAX(I143*1000/'Calculation Constants'!$B$14,O143*10*I143*1000/2/('Calculation Constants'!$B$12*1000*'Calculation Constants'!$B$13))</f>
        <v>12.5</v>
      </c>
      <c r="Q143" s="68">
        <f t="shared" si="57"/>
        <v>1225368.3970556525</v>
      </c>
      <c r="R143" s="27">
        <f>(1/(2*LOG(3.7*$I143/'Calculation Constants'!$B$2*1000)))^2</f>
        <v>8.5984950812375404E-3</v>
      </c>
      <c r="S143" s="19">
        <f t="shared" si="69"/>
        <v>0.74029497268187827</v>
      </c>
      <c r="T143" s="19">
        <f>IF($H143&gt;0,'Calculation Constants'!$B$9*Hydraulics!$K143^2/2/9.81/MAX($F$4:$F$253)*$H143,"")</f>
        <v>5.1657526045266834E-2</v>
      </c>
      <c r="U143" s="19">
        <f t="shared" si="70"/>
        <v>0.79195249872714513</v>
      </c>
      <c r="V143" s="19">
        <f t="shared" si="58"/>
        <v>0</v>
      </c>
      <c r="W143" s="19">
        <f t="shared" si="59"/>
        <v>179.82014250381849</v>
      </c>
      <c r="X143" s="23">
        <f t="shared" si="71"/>
        <v>1181.4431425038185</v>
      </c>
      <c r="Y143" s="22">
        <f>(1/(2*LOG(3.7*$I143/'Calculation Constants'!$B$3*1000)))^2</f>
        <v>9.645396509476439E-3</v>
      </c>
      <c r="Z143" s="19">
        <f t="shared" si="60"/>
        <v>0.83042886900867496</v>
      </c>
      <c r="AA143" s="19">
        <f>IF($H143&gt;0,'Calculation Constants'!$B$9*Hydraulics!$K143^2/2/9.81/MAX($F$4:$F$253)*$H143,"")</f>
        <v>5.1657526045266834E-2</v>
      </c>
      <c r="AB143" s="19">
        <f t="shared" si="82"/>
        <v>0.88208639505394182</v>
      </c>
      <c r="AC143" s="19">
        <f t="shared" si="61"/>
        <v>0</v>
      </c>
      <c r="AD143" s="19">
        <f t="shared" si="72"/>
        <v>179.54974081483829</v>
      </c>
      <c r="AE143" s="23">
        <f t="shared" si="73"/>
        <v>1181.1727408148383</v>
      </c>
      <c r="AF143" s="27">
        <f>(1/(2*LOG(3.7*$I143/'Calculation Constants'!$B$4*1000)))^2</f>
        <v>1.1350445400368435E-2</v>
      </c>
      <c r="AG143" s="19">
        <f t="shared" si="62"/>
        <v>0.97722654815818577</v>
      </c>
      <c r="AH143" s="19">
        <f>IF($H143&gt;0,'Calculation Constants'!$B$9*Hydraulics!$K143^2/2/9.81/MAX($F$4:$F$253)*$H143,"")</f>
        <v>5.1657526045266834E-2</v>
      </c>
      <c r="AI143" s="19">
        <f t="shared" si="74"/>
        <v>1.0288840742034526</v>
      </c>
      <c r="AJ143" s="19">
        <f t="shared" si="63"/>
        <v>0</v>
      </c>
      <c r="AK143" s="19">
        <f t="shared" si="75"/>
        <v>179.10934777738953</v>
      </c>
      <c r="AL143" s="23">
        <f t="shared" si="76"/>
        <v>1180.7323477773896</v>
      </c>
      <c r="AM143" s="22">
        <f>(1/(2*LOG(3.7*($I143-0.008)/'Calculation Constants'!$B$5*1000)))^2</f>
        <v>1.4387191027645335E-2</v>
      </c>
      <c r="AN143" s="19">
        <f t="shared" si="77"/>
        <v>1.243652435121851</v>
      </c>
      <c r="AO143" s="19">
        <f>IF($H143&gt;0,'Calculation Constants'!$B$9*Hydraulics!$K143^2/2/9.81/MAX($F$4:$F$253)*$H143,"")</f>
        <v>5.1657526045266834E-2</v>
      </c>
      <c r="AP143" s="19">
        <f t="shared" si="78"/>
        <v>1.2953099611671177</v>
      </c>
      <c r="AQ143" s="19">
        <f t="shared" si="64"/>
        <v>0</v>
      </c>
      <c r="AR143" s="19">
        <f t="shared" si="79"/>
        <v>178.31007011649876</v>
      </c>
      <c r="AS143" s="23">
        <f t="shared" si="80"/>
        <v>1179.9330701164988</v>
      </c>
    </row>
    <row r="144" spans="5:46">
      <c r="E144" s="35" t="str">
        <f t="shared" si="65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1"/>
        <v>2</v>
      </c>
      <c r="I144" s="19">
        <v>2</v>
      </c>
      <c r="J144" s="36">
        <f>'Flow Rate Calculations'!$B$7</f>
        <v>4.0831050228310497</v>
      </c>
      <c r="K144" s="36">
        <f t="shared" si="66"/>
        <v>1.2996926950938155</v>
      </c>
      <c r="L144" s="37">
        <f>$I144*$K144/'Calculation Constants'!$B$7</f>
        <v>2300341.0532633904</v>
      </c>
      <c r="M144" s="37" t="str">
        <f t="shared" si="67"/>
        <v>Greater Dynamic Pressures</v>
      </c>
      <c r="N144" s="23">
        <f t="shared" si="68"/>
        <v>176.59919000509137</v>
      </c>
      <c r="O144" s="57">
        <f t="shared" si="56"/>
        <v>176.23865441978444</v>
      </c>
      <c r="P144" s="66">
        <f>MAX(I144*1000/'Calculation Constants'!$B$14,O144*10*I144*1000/2/('Calculation Constants'!$B$12*1000*'Calculation Constants'!$B$13))</f>
        <v>12.5</v>
      </c>
      <c r="Q144" s="68">
        <f t="shared" si="57"/>
        <v>1225368.3970556525</v>
      </c>
      <c r="R144" s="27">
        <f>(1/(2*LOG(3.7*$I144/'Calculation Constants'!$B$2*1000)))^2</f>
        <v>8.5984950812375404E-3</v>
      </c>
      <c r="S144" s="19">
        <f t="shared" si="69"/>
        <v>0.74029497268187827</v>
      </c>
      <c r="T144" s="19">
        <f>IF($H144&gt;0,'Calculation Constants'!$B$9*Hydraulics!$K144^2/2/9.81/MAX($F$4:$F$253)*$H144,"")</f>
        <v>5.1657526045266834E-2</v>
      </c>
      <c r="U144" s="19">
        <f t="shared" si="70"/>
        <v>0.79195249872714513</v>
      </c>
      <c r="V144" s="19">
        <f t="shared" si="58"/>
        <v>0</v>
      </c>
      <c r="W144" s="19">
        <f t="shared" si="59"/>
        <v>176.59919000509137</v>
      </c>
      <c r="X144" s="23">
        <f t="shared" si="71"/>
        <v>1180.6511900050914</v>
      </c>
      <c r="Y144" s="22">
        <f>(1/(2*LOG(3.7*$I144/'Calculation Constants'!$B$3*1000)))^2</f>
        <v>9.645396509476439E-3</v>
      </c>
      <c r="Z144" s="19">
        <f t="shared" si="60"/>
        <v>0.83042886900867496</v>
      </c>
      <c r="AA144" s="19">
        <f>IF($H144&gt;0,'Calculation Constants'!$B$9*Hydraulics!$K144^2/2/9.81/MAX($F$4:$F$253)*$H144,"")</f>
        <v>5.1657526045266834E-2</v>
      </c>
      <c r="AB144" s="19">
        <f t="shared" si="82"/>
        <v>0.88208639505394182</v>
      </c>
      <c r="AC144" s="19">
        <f t="shared" si="61"/>
        <v>0</v>
      </c>
      <c r="AD144" s="19">
        <f t="shared" si="72"/>
        <v>176.23865441978444</v>
      </c>
      <c r="AE144" s="23">
        <f t="shared" si="73"/>
        <v>1180.2906544197845</v>
      </c>
      <c r="AF144" s="27">
        <f>(1/(2*LOG(3.7*$I144/'Calculation Constants'!$B$4*1000)))^2</f>
        <v>1.1350445400368435E-2</v>
      </c>
      <c r="AG144" s="19">
        <f t="shared" si="62"/>
        <v>0.97722654815818577</v>
      </c>
      <c r="AH144" s="19">
        <f>IF($H144&gt;0,'Calculation Constants'!$B$9*Hydraulics!$K144^2/2/9.81/MAX($F$4:$F$253)*$H144,"")</f>
        <v>5.1657526045266834E-2</v>
      </c>
      <c r="AI144" s="19">
        <f t="shared" si="74"/>
        <v>1.0288840742034526</v>
      </c>
      <c r="AJ144" s="19">
        <f t="shared" si="63"/>
        <v>0</v>
      </c>
      <c r="AK144" s="19">
        <f t="shared" si="75"/>
        <v>175.6514637031861</v>
      </c>
      <c r="AL144" s="23">
        <f t="shared" si="76"/>
        <v>1179.7034637031861</v>
      </c>
      <c r="AM144" s="22">
        <f>(1/(2*LOG(3.7*($I144-0.008)/'Calculation Constants'!$B$5*1000)))^2</f>
        <v>1.4387191027645335E-2</v>
      </c>
      <c r="AN144" s="19">
        <f t="shared" si="77"/>
        <v>1.243652435121851</v>
      </c>
      <c r="AO144" s="19">
        <f>IF($H144&gt;0,'Calculation Constants'!$B$9*Hydraulics!$K144^2/2/9.81/MAX($F$4:$F$253)*$H144,"")</f>
        <v>5.1657526045266834E-2</v>
      </c>
      <c r="AP144" s="19">
        <f t="shared" si="78"/>
        <v>1.2953099611671177</v>
      </c>
      <c r="AQ144" s="19">
        <f t="shared" si="64"/>
        <v>0</v>
      </c>
      <c r="AR144" s="19">
        <f t="shared" si="79"/>
        <v>174.58576015533174</v>
      </c>
      <c r="AS144" s="23">
        <f t="shared" si="80"/>
        <v>1178.6377601553318</v>
      </c>
    </row>
    <row r="145" spans="5:45">
      <c r="E145" s="35" t="str">
        <f t="shared" si="65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1"/>
        <v>2</v>
      </c>
      <c r="I145" s="19">
        <v>2</v>
      </c>
      <c r="J145" s="36">
        <f>'Flow Rate Calculations'!$B$7</f>
        <v>4.0831050228310497</v>
      </c>
      <c r="K145" s="36">
        <f t="shared" si="66"/>
        <v>1.2996926950938155</v>
      </c>
      <c r="L145" s="37">
        <f>$I145*$K145/'Calculation Constants'!$B$7</f>
        <v>2300341.0532633904</v>
      </c>
      <c r="M145" s="37" t="str">
        <f t="shared" si="67"/>
        <v>Greater Dynamic Pressures</v>
      </c>
      <c r="N145" s="23">
        <f t="shared" si="68"/>
        <v>169.06223750636423</v>
      </c>
      <c r="O145" s="57">
        <f t="shared" si="56"/>
        <v>168.61156802473056</v>
      </c>
      <c r="P145" s="66">
        <f>MAX(I145*1000/'Calculation Constants'!$B$14,O145*10*I145*1000/2/('Calculation Constants'!$B$12*1000*'Calculation Constants'!$B$13))</f>
        <v>12.5</v>
      </c>
      <c r="Q145" s="68">
        <f t="shared" si="57"/>
        <v>1225368.3970556525</v>
      </c>
      <c r="R145" s="27">
        <f>(1/(2*LOG(3.7*$I145/'Calculation Constants'!$B$2*1000)))^2</f>
        <v>8.5984950812375404E-3</v>
      </c>
      <c r="S145" s="19">
        <f t="shared" si="69"/>
        <v>0.74029497268187827</v>
      </c>
      <c r="T145" s="19">
        <f>IF($H145&gt;0,'Calculation Constants'!$B$9*Hydraulics!$K145^2/2/9.81/MAX($F$4:$F$253)*$H145,"")</f>
        <v>5.1657526045266834E-2</v>
      </c>
      <c r="U145" s="19">
        <f t="shared" si="70"/>
        <v>0.79195249872714513</v>
      </c>
      <c r="V145" s="19">
        <f t="shared" si="58"/>
        <v>0</v>
      </c>
      <c r="W145" s="19">
        <f t="shared" si="59"/>
        <v>169.06223750636423</v>
      </c>
      <c r="X145" s="23">
        <f t="shared" si="71"/>
        <v>1179.8592375063643</v>
      </c>
      <c r="Y145" s="22">
        <f>(1/(2*LOG(3.7*$I145/'Calculation Constants'!$B$3*1000)))^2</f>
        <v>9.645396509476439E-3</v>
      </c>
      <c r="Z145" s="19">
        <f t="shared" si="60"/>
        <v>0.83042886900867496</v>
      </c>
      <c r="AA145" s="19">
        <f>IF($H145&gt;0,'Calculation Constants'!$B$9*Hydraulics!$K145^2/2/9.81/MAX($F$4:$F$253)*$H145,"")</f>
        <v>5.1657526045266834E-2</v>
      </c>
      <c r="AB145" s="19">
        <f t="shared" si="82"/>
        <v>0.88208639505394182</v>
      </c>
      <c r="AC145" s="19">
        <f t="shared" si="61"/>
        <v>0</v>
      </c>
      <c r="AD145" s="19">
        <f t="shared" si="72"/>
        <v>168.61156802473056</v>
      </c>
      <c r="AE145" s="23">
        <f t="shared" si="73"/>
        <v>1179.4085680247306</v>
      </c>
      <c r="AF145" s="27">
        <f>(1/(2*LOG(3.7*$I145/'Calculation Constants'!$B$4*1000)))^2</f>
        <v>1.1350445400368435E-2</v>
      </c>
      <c r="AG145" s="19">
        <f t="shared" si="62"/>
        <v>0.97722654815818577</v>
      </c>
      <c r="AH145" s="19">
        <f>IF($H145&gt;0,'Calculation Constants'!$B$9*Hydraulics!$K145^2/2/9.81/MAX($F$4:$F$253)*$H145,"")</f>
        <v>5.1657526045266834E-2</v>
      </c>
      <c r="AI145" s="19">
        <f t="shared" si="74"/>
        <v>1.0288840742034526</v>
      </c>
      <c r="AJ145" s="19">
        <f t="shared" si="63"/>
        <v>0</v>
      </c>
      <c r="AK145" s="19">
        <f t="shared" si="75"/>
        <v>167.87757962898263</v>
      </c>
      <c r="AL145" s="23">
        <f t="shared" si="76"/>
        <v>1178.6745796289827</v>
      </c>
      <c r="AM145" s="22">
        <f>(1/(2*LOG(3.7*($I145-0.008)/'Calculation Constants'!$B$5*1000)))^2</f>
        <v>1.4387191027645335E-2</v>
      </c>
      <c r="AN145" s="19">
        <f t="shared" si="77"/>
        <v>1.243652435121851</v>
      </c>
      <c r="AO145" s="19">
        <f>IF($H145&gt;0,'Calculation Constants'!$B$9*Hydraulics!$K145^2/2/9.81/MAX($F$4:$F$253)*$H145,"")</f>
        <v>5.1657526045266834E-2</v>
      </c>
      <c r="AP145" s="19">
        <f t="shared" si="78"/>
        <v>1.2953099611671177</v>
      </c>
      <c r="AQ145" s="19">
        <f t="shared" si="64"/>
        <v>0</v>
      </c>
      <c r="AR145" s="19">
        <f t="shared" si="79"/>
        <v>166.54545019416469</v>
      </c>
      <c r="AS145" s="23">
        <f t="shared" si="80"/>
        <v>1177.3424501941647</v>
      </c>
    </row>
    <row r="146" spans="5:45">
      <c r="E146" s="35" t="str">
        <f t="shared" si="65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1"/>
        <v>2</v>
      </c>
      <c r="I146" s="19">
        <v>2</v>
      </c>
      <c r="J146" s="36">
        <f>'Flow Rate Calculations'!$B$7</f>
        <v>4.0831050228310497</v>
      </c>
      <c r="K146" s="36">
        <f t="shared" si="66"/>
        <v>1.2996926950938155</v>
      </c>
      <c r="L146" s="37">
        <f>$I146*$K146/'Calculation Constants'!$B$7</f>
        <v>2300341.0532633904</v>
      </c>
      <c r="M146" s="37" t="str">
        <f t="shared" si="67"/>
        <v>Greater Dynamic Pressures</v>
      </c>
      <c r="N146" s="23">
        <f t="shared" si="68"/>
        <v>164.39728500763715</v>
      </c>
      <c r="O146" s="57">
        <f t="shared" si="56"/>
        <v>163.85648162967675</v>
      </c>
      <c r="P146" s="66">
        <f>MAX(I146*1000/'Calculation Constants'!$B$14,O146*10*I146*1000/2/('Calculation Constants'!$B$12*1000*'Calculation Constants'!$B$13))</f>
        <v>12.5</v>
      </c>
      <c r="Q146" s="68">
        <f t="shared" si="57"/>
        <v>1225368.3970556525</v>
      </c>
      <c r="R146" s="27">
        <f>(1/(2*LOG(3.7*$I146/'Calculation Constants'!$B$2*1000)))^2</f>
        <v>8.5984950812375404E-3</v>
      </c>
      <c r="S146" s="19">
        <f t="shared" si="69"/>
        <v>0.74029497268187827</v>
      </c>
      <c r="T146" s="19">
        <f>IF($H146&gt;0,'Calculation Constants'!$B$9*Hydraulics!$K146^2/2/9.81/MAX($F$4:$F$253)*$H146,"")</f>
        <v>5.1657526045266834E-2</v>
      </c>
      <c r="U146" s="19">
        <f t="shared" si="70"/>
        <v>0.79195249872714513</v>
      </c>
      <c r="V146" s="19">
        <f t="shared" si="58"/>
        <v>0</v>
      </c>
      <c r="W146" s="19">
        <f t="shared" si="59"/>
        <v>164.39728500763715</v>
      </c>
      <c r="X146" s="23">
        <f t="shared" si="71"/>
        <v>1179.0672850076371</v>
      </c>
      <c r="Y146" s="22">
        <f>(1/(2*LOG(3.7*$I146/'Calculation Constants'!$B$3*1000)))^2</f>
        <v>9.645396509476439E-3</v>
      </c>
      <c r="Z146" s="19">
        <f t="shared" si="60"/>
        <v>0.83042886900867496</v>
      </c>
      <c r="AA146" s="19">
        <f>IF($H146&gt;0,'Calculation Constants'!$B$9*Hydraulics!$K146^2/2/9.81/MAX($F$4:$F$253)*$H146,"")</f>
        <v>5.1657526045266834E-2</v>
      </c>
      <c r="AB146" s="19">
        <f t="shared" si="82"/>
        <v>0.88208639505394182</v>
      </c>
      <c r="AC146" s="19">
        <f t="shared" si="61"/>
        <v>0</v>
      </c>
      <c r="AD146" s="19">
        <f t="shared" si="72"/>
        <v>163.85648162967675</v>
      </c>
      <c r="AE146" s="23">
        <f t="shared" si="73"/>
        <v>1178.5264816296767</v>
      </c>
      <c r="AF146" s="27">
        <f>(1/(2*LOG(3.7*$I146/'Calculation Constants'!$B$4*1000)))^2</f>
        <v>1.1350445400368435E-2</v>
      </c>
      <c r="AG146" s="19">
        <f t="shared" si="62"/>
        <v>0.97722654815818577</v>
      </c>
      <c r="AH146" s="19">
        <f>IF($H146&gt;0,'Calculation Constants'!$B$9*Hydraulics!$K146^2/2/9.81/MAX($F$4:$F$253)*$H146,"")</f>
        <v>5.1657526045266834E-2</v>
      </c>
      <c r="AI146" s="19">
        <f t="shared" si="74"/>
        <v>1.0288840742034526</v>
      </c>
      <c r="AJ146" s="19">
        <f t="shared" si="63"/>
        <v>0</v>
      </c>
      <c r="AK146" s="19">
        <f t="shared" si="75"/>
        <v>162.97569555477924</v>
      </c>
      <c r="AL146" s="23">
        <f t="shared" si="76"/>
        <v>1177.6456955547792</v>
      </c>
      <c r="AM146" s="22">
        <f>(1/(2*LOG(3.7*($I146-0.008)/'Calculation Constants'!$B$5*1000)))^2</f>
        <v>1.4387191027645335E-2</v>
      </c>
      <c r="AN146" s="19">
        <f t="shared" si="77"/>
        <v>1.243652435121851</v>
      </c>
      <c r="AO146" s="19">
        <f>IF($H146&gt;0,'Calculation Constants'!$B$9*Hydraulics!$K146^2/2/9.81/MAX($F$4:$F$253)*$H146,"")</f>
        <v>5.1657526045266834E-2</v>
      </c>
      <c r="AP146" s="19">
        <f t="shared" si="78"/>
        <v>1.2953099611671177</v>
      </c>
      <c r="AQ146" s="19">
        <f t="shared" si="64"/>
        <v>0</v>
      </c>
      <c r="AR146" s="19">
        <f t="shared" si="79"/>
        <v>161.3771402329977</v>
      </c>
      <c r="AS146" s="23">
        <f t="shared" si="80"/>
        <v>1176.0471402329977</v>
      </c>
    </row>
    <row r="147" spans="5:45">
      <c r="E147" s="35" t="str">
        <f t="shared" si="65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1"/>
        <v>2</v>
      </c>
      <c r="I147" s="19">
        <v>2</v>
      </c>
      <c r="J147" s="36">
        <f>'Flow Rate Calculations'!$B$7</f>
        <v>4.0831050228310497</v>
      </c>
      <c r="K147" s="36">
        <f t="shared" si="66"/>
        <v>1.2996926950938155</v>
      </c>
      <c r="L147" s="37">
        <f>$I147*$K147/'Calculation Constants'!$B$7</f>
        <v>2300341.0532633904</v>
      </c>
      <c r="M147" s="37" t="str">
        <f t="shared" si="67"/>
        <v>Greater Dynamic Pressures</v>
      </c>
      <c r="N147" s="23">
        <f t="shared" si="68"/>
        <v>160.95633250891001</v>
      </c>
      <c r="O147" s="57">
        <f t="shared" si="56"/>
        <v>160.32539523462287</v>
      </c>
      <c r="P147" s="66">
        <f>MAX(I147*1000/'Calculation Constants'!$B$14,O147*10*I147*1000/2/('Calculation Constants'!$B$12*1000*'Calculation Constants'!$B$13))</f>
        <v>12.5</v>
      </c>
      <c r="Q147" s="68">
        <f t="shared" si="57"/>
        <v>1225368.3970556525</v>
      </c>
      <c r="R147" s="27">
        <f>(1/(2*LOG(3.7*$I147/'Calculation Constants'!$B$2*1000)))^2</f>
        <v>8.5984950812375404E-3</v>
      </c>
      <c r="S147" s="19">
        <f t="shared" si="69"/>
        <v>0.74029497268187827</v>
      </c>
      <c r="T147" s="19">
        <f>IF($H147&gt;0,'Calculation Constants'!$B$9*Hydraulics!$K147^2/2/9.81/MAX($F$4:$F$253)*$H147,"")</f>
        <v>5.1657526045266834E-2</v>
      </c>
      <c r="U147" s="19">
        <f t="shared" si="70"/>
        <v>0.79195249872714513</v>
      </c>
      <c r="V147" s="19">
        <f t="shared" si="58"/>
        <v>0</v>
      </c>
      <c r="W147" s="19">
        <f t="shared" si="59"/>
        <v>160.95633250891001</v>
      </c>
      <c r="X147" s="23">
        <f t="shared" si="71"/>
        <v>1178.27533250891</v>
      </c>
      <c r="Y147" s="22">
        <f>(1/(2*LOG(3.7*$I147/'Calculation Constants'!$B$3*1000)))^2</f>
        <v>9.645396509476439E-3</v>
      </c>
      <c r="Z147" s="19">
        <f t="shared" si="60"/>
        <v>0.83042886900867496</v>
      </c>
      <c r="AA147" s="19">
        <f>IF($H147&gt;0,'Calculation Constants'!$B$9*Hydraulics!$K147^2/2/9.81/MAX($F$4:$F$253)*$H147,"")</f>
        <v>5.1657526045266834E-2</v>
      </c>
      <c r="AB147" s="19">
        <f t="shared" si="82"/>
        <v>0.88208639505394182</v>
      </c>
      <c r="AC147" s="19">
        <f t="shared" si="61"/>
        <v>0</v>
      </c>
      <c r="AD147" s="19">
        <f t="shared" si="72"/>
        <v>160.32539523462287</v>
      </c>
      <c r="AE147" s="23">
        <f t="shared" si="73"/>
        <v>1177.6443952346228</v>
      </c>
      <c r="AF147" s="27">
        <f>(1/(2*LOG(3.7*$I147/'Calculation Constants'!$B$4*1000)))^2</f>
        <v>1.1350445400368435E-2</v>
      </c>
      <c r="AG147" s="19">
        <f t="shared" si="62"/>
        <v>0.97722654815818577</v>
      </c>
      <c r="AH147" s="19">
        <f>IF($H147&gt;0,'Calculation Constants'!$B$9*Hydraulics!$K147^2/2/9.81/MAX($F$4:$F$253)*$H147,"")</f>
        <v>5.1657526045266834E-2</v>
      </c>
      <c r="AI147" s="19">
        <f t="shared" si="74"/>
        <v>1.0288840742034526</v>
      </c>
      <c r="AJ147" s="19">
        <f t="shared" si="63"/>
        <v>0</v>
      </c>
      <c r="AK147" s="19">
        <f t="shared" si="75"/>
        <v>159.29781148057577</v>
      </c>
      <c r="AL147" s="23">
        <f t="shared" si="76"/>
        <v>1176.6168114805757</v>
      </c>
      <c r="AM147" s="22">
        <f>(1/(2*LOG(3.7*($I147-0.008)/'Calculation Constants'!$B$5*1000)))^2</f>
        <v>1.4387191027645335E-2</v>
      </c>
      <c r="AN147" s="19">
        <f t="shared" si="77"/>
        <v>1.243652435121851</v>
      </c>
      <c r="AO147" s="19">
        <f>IF($H147&gt;0,'Calculation Constants'!$B$9*Hydraulics!$K147^2/2/9.81/MAX($F$4:$F$253)*$H147,"")</f>
        <v>5.1657526045266834E-2</v>
      </c>
      <c r="AP147" s="19">
        <f t="shared" si="78"/>
        <v>1.2953099611671177</v>
      </c>
      <c r="AQ147" s="19">
        <f t="shared" si="64"/>
        <v>0</v>
      </c>
      <c r="AR147" s="19">
        <f t="shared" si="79"/>
        <v>157.43283027183065</v>
      </c>
      <c r="AS147" s="23">
        <f t="shared" si="80"/>
        <v>1174.7518302718306</v>
      </c>
    </row>
    <row r="148" spans="5:45">
      <c r="E148" s="35" t="str">
        <f t="shared" si="65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1"/>
        <v>2</v>
      </c>
      <c r="I148" s="19">
        <v>2</v>
      </c>
      <c r="J148" s="36">
        <f>'Flow Rate Calculations'!$B$7</f>
        <v>4.0831050228310497</v>
      </c>
      <c r="K148" s="36">
        <f t="shared" si="66"/>
        <v>1.2996926950938155</v>
      </c>
      <c r="L148" s="37">
        <f>$I148*$K148/'Calculation Constants'!$B$7</f>
        <v>2300341.0532633904</v>
      </c>
      <c r="M148" s="37" t="str">
        <f t="shared" si="67"/>
        <v>Greater Dynamic Pressures</v>
      </c>
      <c r="N148" s="23">
        <f t="shared" si="68"/>
        <v>150.02438001018277</v>
      </c>
      <c r="O148" s="57">
        <f t="shared" si="56"/>
        <v>149.3033088395689</v>
      </c>
      <c r="P148" s="66">
        <f>MAX(I148*1000/'Calculation Constants'!$B$14,O148*10*I148*1000/2/('Calculation Constants'!$B$12*1000*'Calculation Constants'!$B$13))</f>
        <v>12.5</v>
      </c>
      <c r="Q148" s="68">
        <f t="shared" si="57"/>
        <v>1225368.3970556525</v>
      </c>
      <c r="R148" s="27">
        <f>(1/(2*LOG(3.7*$I148/'Calculation Constants'!$B$2*1000)))^2</f>
        <v>8.5984950812375404E-3</v>
      </c>
      <c r="S148" s="19">
        <f t="shared" si="69"/>
        <v>0.74029497268187827</v>
      </c>
      <c r="T148" s="19">
        <f>IF($H148&gt;0,'Calculation Constants'!$B$9*Hydraulics!$K148^2/2/9.81/MAX($F$4:$F$253)*$H148,"")</f>
        <v>5.1657526045266834E-2</v>
      </c>
      <c r="U148" s="19">
        <f t="shared" si="70"/>
        <v>0.79195249872714513</v>
      </c>
      <c r="V148" s="19">
        <f t="shared" si="58"/>
        <v>0</v>
      </c>
      <c r="W148" s="19">
        <f t="shared" si="59"/>
        <v>150.02438001018277</v>
      </c>
      <c r="X148" s="23">
        <f t="shared" si="71"/>
        <v>1177.4833800101828</v>
      </c>
      <c r="Y148" s="22">
        <f>(1/(2*LOG(3.7*$I148/'Calculation Constants'!$B$3*1000)))^2</f>
        <v>9.645396509476439E-3</v>
      </c>
      <c r="Z148" s="19">
        <f t="shared" si="60"/>
        <v>0.83042886900867496</v>
      </c>
      <c r="AA148" s="19">
        <f>IF($H148&gt;0,'Calculation Constants'!$B$9*Hydraulics!$K148^2/2/9.81/MAX($F$4:$F$253)*$H148,"")</f>
        <v>5.1657526045266834E-2</v>
      </c>
      <c r="AB148" s="19">
        <f t="shared" si="82"/>
        <v>0.88208639505394182</v>
      </c>
      <c r="AC148" s="19">
        <f t="shared" si="61"/>
        <v>0</v>
      </c>
      <c r="AD148" s="19">
        <f t="shared" si="72"/>
        <v>149.3033088395689</v>
      </c>
      <c r="AE148" s="23">
        <f t="shared" si="73"/>
        <v>1176.762308839569</v>
      </c>
      <c r="AF148" s="27">
        <f>(1/(2*LOG(3.7*$I148/'Calculation Constants'!$B$4*1000)))^2</f>
        <v>1.1350445400368435E-2</v>
      </c>
      <c r="AG148" s="19">
        <f t="shared" si="62"/>
        <v>0.97722654815818577</v>
      </c>
      <c r="AH148" s="19">
        <f>IF($H148&gt;0,'Calculation Constants'!$B$9*Hydraulics!$K148^2/2/9.81/MAX($F$4:$F$253)*$H148,"")</f>
        <v>5.1657526045266834E-2</v>
      </c>
      <c r="AI148" s="19">
        <f t="shared" si="74"/>
        <v>1.0288840742034526</v>
      </c>
      <c r="AJ148" s="19">
        <f t="shared" si="63"/>
        <v>0</v>
      </c>
      <c r="AK148" s="19">
        <f t="shared" si="75"/>
        <v>148.12892740637221</v>
      </c>
      <c r="AL148" s="23">
        <f t="shared" si="76"/>
        <v>1175.5879274063723</v>
      </c>
      <c r="AM148" s="22">
        <f>(1/(2*LOG(3.7*($I148-0.008)/'Calculation Constants'!$B$5*1000)))^2</f>
        <v>1.4387191027645335E-2</v>
      </c>
      <c r="AN148" s="19">
        <f t="shared" si="77"/>
        <v>1.243652435121851</v>
      </c>
      <c r="AO148" s="19">
        <f>IF($H148&gt;0,'Calculation Constants'!$B$9*Hydraulics!$K148^2/2/9.81/MAX($F$4:$F$253)*$H148,"")</f>
        <v>5.1657526045266834E-2</v>
      </c>
      <c r="AP148" s="19">
        <f t="shared" si="78"/>
        <v>1.2953099611671177</v>
      </c>
      <c r="AQ148" s="19">
        <f t="shared" si="64"/>
        <v>0</v>
      </c>
      <c r="AR148" s="19">
        <f t="shared" si="79"/>
        <v>145.9975203106635</v>
      </c>
      <c r="AS148" s="23">
        <f t="shared" si="80"/>
        <v>1173.4565203106636</v>
      </c>
    </row>
    <row r="149" spans="5:45">
      <c r="E149" s="35" t="str">
        <f t="shared" si="65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1"/>
        <v>2</v>
      </c>
      <c r="I149" s="19">
        <v>2</v>
      </c>
      <c r="J149" s="36">
        <f>'Flow Rate Calculations'!$B$7</f>
        <v>4.0831050228310497</v>
      </c>
      <c r="K149" s="36">
        <f t="shared" si="66"/>
        <v>1.2996926950938155</v>
      </c>
      <c r="L149" s="37">
        <f>$I149*$K149/'Calculation Constants'!$B$7</f>
        <v>2300341.0532633904</v>
      </c>
      <c r="M149" s="37" t="str">
        <f t="shared" si="67"/>
        <v>Greater Dynamic Pressures</v>
      </c>
      <c r="N149" s="23">
        <f t="shared" si="68"/>
        <v>144.70142751145568</v>
      </c>
      <c r="O149" s="57">
        <f t="shared" si="56"/>
        <v>143.89022244451508</v>
      </c>
      <c r="P149" s="66">
        <f>MAX(I149*1000/'Calculation Constants'!$B$14,O149*10*I149*1000/2/('Calculation Constants'!$B$12*1000*'Calculation Constants'!$B$13))</f>
        <v>12.5</v>
      </c>
      <c r="Q149" s="68">
        <f t="shared" si="57"/>
        <v>1225368.3970556525</v>
      </c>
      <c r="R149" s="27">
        <f>(1/(2*LOG(3.7*$I149/'Calculation Constants'!$B$2*1000)))^2</f>
        <v>8.5984950812375404E-3</v>
      </c>
      <c r="S149" s="19">
        <f t="shared" si="69"/>
        <v>0.74029497268187827</v>
      </c>
      <c r="T149" s="19">
        <f>IF($H149&gt;0,'Calculation Constants'!$B$9*Hydraulics!$K149^2/2/9.81/MAX($F$4:$F$253)*$H149,"")</f>
        <v>5.1657526045266834E-2</v>
      </c>
      <c r="U149" s="19">
        <f t="shared" si="70"/>
        <v>0.79195249872714513</v>
      </c>
      <c r="V149" s="19">
        <f t="shared" si="58"/>
        <v>0</v>
      </c>
      <c r="W149" s="19">
        <f t="shared" si="59"/>
        <v>144.70142751145568</v>
      </c>
      <c r="X149" s="23">
        <f t="shared" si="71"/>
        <v>1176.6914275114557</v>
      </c>
      <c r="Y149" s="22">
        <f>(1/(2*LOG(3.7*$I149/'Calculation Constants'!$B$3*1000)))^2</f>
        <v>9.645396509476439E-3</v>
      </c>
      <c r="Z149" s="19">
        <f t="shared" si="60"/>
        <v>0.83042886900867496</v>
      </c>
      <c r="AA149" s="19">
        <f>IF($H149&gt;0,'Calculation Constants'!$B$9*Hydraulics!$K149^2/2/9.81/MAX($F$4:$F$253)*$H149,"")</f>
        <v>5.1657526045266834E-2</v>
      </c>
      <c r="AB149" s="19">
        <f t="shared" si="82"/>
        <v>0.88208639505394182</v>
      </c>
      <c r="AC149" s="19">
        <f t="shared" si="61"/>
        <v>0</v>
      </c>
      <c r="AD149" s="19">
        <f t="shared" si="72"/>
        <v>143.89022244451508</v>
      </c>
      <c r="AE149" s="23">
        <f t="shared" si="73"/>
        <v>1175.8802224445151</v>
      </c>
      <c r="AF149" s="27">
        <f>(1/(2*LOG(3.7*$I149/'Calculation Constants'!$B$4*1000)))^2</f>
        <v>1.1350445400368435E-2</v>
      </c>
      <c r="AG149" s="19">
        <f t="shared" si="62"/>
        <v>0.97722654815818577</v>
      </c>
      <c r="AH149" s="19">
        <f>IF($H149&gt;0,'Calculation Constants'!$B$9*Hydraulics!$K149^2/2/9.81/MAX($F$4:$F$253)*$H149,"")</f>
        <v>5.1657526045266834E-2</v>
      </c>
      <c r="AI149" s="19">
        <f t="shared" si="74"/>
        <v>1.0288840742034526</v>
      </c>
      <c r="AJ149" s="19">
        <f t="shared" si="63"/>
        <v>0</v>
      </c>
      <c r="AK149" s="19">
        <f t="shared" si="75"/>
        <v>142.5690433321688</v>
      </c>
      <c r="AL149" s="23">
        <f t="shared" si="76"/>
        <v>1174.5590433321688</v>
      </c>
      <c r="AM149" s="22">
        <f>(1/(2*LOG(3.7*($I149-0.008)/'Calculation Constants'!$B$5*1000)))^2</f>
        <v>1.4387191027645335E-2</v>
      </c>
      <c r="AN149" s="19">
        <f t="shared" si="77"/>
        <v>1.243652435121851</v>
      </c>
      <c r="AO149" s="19">
        <f>IF($H149&gt;0,'Calculation Constants'!$B$9*Hydraulics!$K149^2/2/9.81/MAX($F$4:$F$253)*$H149,"")</f>
        <v>5.1657526045266834E-2</v>
      </c>
      <c r="AP149" s="19">
        <f t="shared" si="78"/>
        <v>1.2953099611671177</v>
      </c>
      <c r="AQ149" s="19">
        <f t="shared" si="64"/>
        <v>0</v>
      </c>
      <c r="AR149" s="19">
        <f t="shared" si="79"/>
        <v>140.1712103494965</v>
      </c>
      <c r="AS149" s="23">
        <f t="shared" si="80"/>
        <v>1172.1612103494965</v>
      </c>
    </row>
    <row r="150" spans="5:45">
      <c r="E150" s="35" t="str">
        <f t="shared" si="65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1"/>
        <v>2</v>
      </c>
      <c r="I150" s="19">
        <v>2</v>
      </c>
      <c r="J150" s="36">
        <f>'Flow Rate Calculations'!$B$7</f>
        <v>4.0831050228310497</v>
      </c>
      <c r="K150" s="36">
        <f t="shared" si="66"/>
        <v>1.2996926950938155</v>
      </c>
      <c r="L150" s="37">
        <f>$I150*$K150/'Calculation Constants'!$B$7</f>
        <v>2300341.0532633904</v>
      </c>
      <c r="M150" s="37" t="str">
        <f t="shared" si="67"/>
        <v>Greater Dynamic Pressures</v>
      </c>
      <c r="N150" s="23">
        <f t="shared" si="68"/>
        <v>139.64547501272864</v>
      </c>
      <c r="O150" s="57">
        <f t="shared" si="56"/>
        <v>138.7441360494613</v>
      </c>
      <c r="P150" s="66">
        <f>MAX(I150*1000/'Calculation Constants'!$B$14,O150*10*I150*1000/2/('Calculation Constants'!$B$12*1000*'Calculation Constants'!$B$13))</f>
        <v>12.5</v>
      </c>
      <c r="Q150" s="68">
        <f t="shared" si="57"/>
        <v>1225368.3970556525</v>
      </c>
      <c r="R150" s="27">
        <f>(1/(2*LOG(3.7*$I150/'Calculation Constants'!$B$2*1000)))^2</f>
        <v>8.5984950812375404E-3</v>
      </c>
      <c r="S150" s="19">
        <f t="shared" si="69"/>
        <v>0.74029497268187827</v>
      </c>
      <c r="T150" s="19">
        <f>IF($H150&gt;0,'Calculation Constants'!$B$9*Hydraulics!$K150^2/2/9.81/MAX($F$4:$F$253)*$H150,"")</f>
        <v>5.1657526045266834E-2</v>
      </c>
      <c r="U150" s="19">
        <f t="shared" si="70"/>
        <v>0.79195249872714513</v>
      </c>
      <c r="V150" s="19">
        <f t="shared" si="58"/>
        <v>0</v>
      </c>
      <c r="W150" s="19">
        <f t="shared" si="59"/>
        <v>139.64547501272864</v>
      </c>
      <c r="X150" s="23">
        <f t="shared" si="71"/>
        <v>1175.8994750127285</v>
      </c>
      <c r="Y150" s="22">
        <f>(1/(2*LOG(3.7*$I150/'Calculation Constants'!$B$3*1000)))^2</f>
        <v>9.645396509476439E-3</v>
      </c>
      <c r="Z150" s="19">
        <f t="shared" si="60"/>
        <v>0.83042886900867496</v>
      </c>
      <c r="AA150" s="19">
        <f>IF($H150&gt;0,'Calculation Constants'!$B$9*Hydraulics!$K150^2/2/9.81/MAX($F$4:$F$253)*$H150,"")</f>
        <v>5.1657526045266834E-2</v>
      </c>
      <c r="AB150" s="19">
        <f t="shared" si="82"/>
        <v>0.88208639505394182</v>
      </c>
      <c r="AC150" s="19">
        <f t="shared" si="61"/>
        <v>0</v>
      </c>
      <c r="AD150" s="19">
        <f t="shared" si="72"/>
        <v>138.7441360494613</v>
      </c>
      <c r="AE150" s="23">
        <f t="shared" si="73"/>
        <v>1174.9981360494612</v>
      </c>
      <c r="AF150" s="27">
        <f>(1/(2*LOG(3.7*$I150/'Calculation Constants'!$B$4*1000)))^2</f>
        <v>1.1350445400368435E-2</v>
      </c>
      <c r="AG150" s="19">
        <f t="shared" si="62"/>
        <v>0.97722654815818577</v>
      </c>
      <c r="AH150" s="19">
        <f>IF($H150&gt;0,'Calculation Constants'!$B$9*Hydraulics!$K150^2/2/9.81/MAX($F$4:$F$253)*$H150,"")</f>
        <v>5.1657526045266834E-2</v>
      </c>
      <c r="AI150" s="19">
        <f t="shared" si="74"/>
        <v>1.0288840742034526</v>
      </c>
      <c r="AJ150" s="19">
        <f t="shared" si="63"/>
        <v>0</v>
      </c>
      <c r="AK150" s="19">
        <f t="shared" si="75"/>
        <v>137.27615925796545</v>
      </c>
      <c r="AL150" s="23">
        <f t="shared" si="76"/>
        <v>1173.5301592579654</v>
      </c>
      <c r="AM150" s="22">
        <f>(1/(2*LOG(3.7*($I150-0.008)/'Calculation Constants'!$B$5*1000)))^2</f>
        <v>1.4387191027645335E-2</v>
      </c>
      <c r="AN150" s="19">
        <f t="shared" si="77"/>
        <v>1.243652435121851</v>
      </c>
      <c r="AO150" s="19">
        <f>IF($H150&gt;0,'Calculation Constants'!$B$9*Hydraulics!$K150^2/2/9.81/MAX($F$4:$F$253)*$H150,"")</f>
        <v>5.1657526045266834E-2</v>
      </c>
      <c r="AP150" s="19">
        <f t="shared" si="78"/>
        <v>1.2953099611671177</v>
      </c>
      <c r="AQ150" s="19">
        <f t="shared" si="64"/>
        <v>0</v>
      </c>
      <c r="AR150" s="19">
        <f t="shared" si="79"/>
        <v>134.61190038832956</v>
      </c>
      <c r="AS150" s="23">
        <f t="shared" si="80"/>
        <v>1170.8659003883295</v>
      </c>
    </row>
    <row r="151" spans="5:45">
      <c r="E151" s="35" t="str">
        <f t="shared" si="65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1"/>
        <v>2</v>
      </c>
      <c r="I151" s="19">
        <v>2</v>
      </c>
      <c r="J151" s="36">
        <f>'Flow Rate Calculations'!$B$7</f>
        <v>4.0831050228310497</v>
      </c>
      <c r="K151" s="36">
        <f t="shared" si="66"/>
        <v>1.2996926950938155</v>
      </c>
      <c r="L151" s="37">
        <f>$I151*$K151/'Calculation Constants'!$B$7</f>
        <v>2300341.0532633904</v>
      </c>
      <c r="M151" s="37" t="str">
        <f t="shared" si="67"/>
        <v>Greater Dynamic Pressures</v>
      </c>
      <c r="N151" s="23">
        <f t="shared" si="68"/>
        <v>134.98052251400145</v>
      </c>
      <c r="O151" s="57">
        <f t="shared" si="56"/>
        <v>133.98904965440738</v>
      </c>
      <c r="P151" s="66">
        <f>MAX(I151*1000/'Calculation Constants'!$B$14,O151*10*I151*1000/2/('Calculation Constants'!$B$12*1000*'Calculation Constants'!$B$13))</f>
        <v>12.5</v>
      </c>
      <c r="Q151" s="68">
        <f t="shared" si="57"/>
        <v>1225368.3970556525</v>
      </c>
      <c r="R151" s="27">
        <f>(1/(2*LOG(3.7*$I151/'Calculation Constants'!$B$2*1000)))^2</f>
        <v>8.5984950812375404E-3</v>
      </c>
      <c r="S151" s="19">
        <f t="shared" si="69"/>
        <v>0.74029497268187827</v>
      </c>
      <c r="T151" s="19">
        <f>IF($H151&gt;0,'Calculation Constants'!$B$9*Hydraulics!$K151^2/2/9.81/MAX($F$4:$F$253)*$H151,"")</f>
        <v>5.1657526045266834E-2</v>
      </c>
      <c r="U151" s="19">
        <f t="shared" si="70"/>
        <v>0.79195249872714513</v>
      </c>
      <c r="V151" s="19">
        <f t="shared" si="58"/>
        <v>0</v>
      </c>
      <c r="W151" s="19">
        <f t="shared" si="59"/>
        <v>134.98052251400145</v>
      </c>
      <c r="X151" s="23">
        <f t="shared" si="71"/>
        <v>1175.1075225140014</v>
      </c>
      <c r="Y151" s="22">
        <f>(1/(2*LOG(3.7*$I151/'Calculation Constants'!$B$3*1000)))^2</f>
        <v>9.645396509476439E-3</v>
      </c>
      <c r="Z151" s="19">
        <f t="shared" si="60"/>
        <v>0.83042886900867496</v>
      </c>
      <c r="AA151" s="19">
        <f>IF($H151&gt;0,'Calculation Constants'!$B$9*Hydraulics!$K151^2/2/9.81/MAX($F$4:$F$253)*$H151,"")</f>
        <v>5.1657526045266834E-2</v>
      </c>
      <c r="AB151" s="19">
        <f t="shared" si="82"/>
        <v>0.88208639505394182</v>
      </c>
      <c r="AC151" s="19">
        <f t="shared" si="61"/>
        <v>0</v>
      </c>
      <c r="AD151" s="19">
        <f t="shared" si="72"/>
        <v>133.98904965440738</v>
      </c>
      <c r="AE151" s="23">
        <f t="shared" si="73"/>
        <v>1174.1160496544073</v>
      </c>
      <c r="AF151" s="27">
        <f>(1/(2*LOG(3.7*$I151/'Calculation Constants'!$B$4*1000)))^2</f>
        <v>1.1350445400368435E-2</v>
      </c>
      <c r="AG151" s="19">
        <f t="shared" si="62"/>
        <v>0.97722654815818577</v>
      </c>
      <c r="AH151" s="19">
        <f>IF($H151&gt;0,'Calculation Constants'!$B$9*Hydraulics!$K151^2/2/9.81/MAX($F$4:$F$253)*$H151,"")</f>
        <v>5.1657526045266834E-2</v>
      </c>
      <c r="AI151" s="19">
        <f t="shared" si="74"/>
        <v>1.0288840742034526</v>
      </c>
      <c r="AJ151" s="19">
        <f t="shared" si="63"/>
        <v>0</v>
      </c>
      <c r="AK151" s="19">
        <f t="shared" si="75"/>
        <v>132.37427518376194</v>
      </c>
      <c r="AL151" s="23">
        <f t="shared" si="76"/>
        <v>1172.5012751837619</v>
      </c>
      <c r="AM151" s="22">
        <f>(1/(2*LOG(3.7*($I151-0.008)/'Calculation Constants'!$B$5*1000)))^2</f>
        <v>1.4387191027645335E-2</v>
      </c>
      <c r="AN151" s="19">
        <f t="shared" si="77"/>
        <v>1.243652435121851</v>
      </c>
      <c r="AO151" s="19">
        <f>IF($H151&gt;0,'Calculation Constants'!$B$9*Hydraulics!$K151^2/2/9.81/MAX($F$4:$F$253)*$H151,"")</f>
        <v>5.1657526045266834E-2</v>
      </c>
      <c r="AP151" s="19">
        <f t="shared" si="78"/>
        <v>1.2953099611671177</v>
      </c>
      <c r="AQ151" s="19">
        <f t="shared" si="64"/>
        <v>0</v>
      </c>
      <c r="AR151" s="19">
        <f t="shared" si="79"/>
        <v>129.44359042716246</v>
      </c>
      <c r="AS151" s="23">
        <f t="shared" si="80"/>
        <v>1169.5705904271624</v>
      </c>
    </row>
    <row r="152" spans="5:45">
      <c r="E152" s="35" t="str">
        <f t="shared" si="65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1"/>
        <v>2</v>
      </c>
      <c r="I152" s="19">
        <v>2</v>
      </c>
      <c r="J152" s="36">
        <f>'Flow Rate Calculations'!$B$7</f>
        <v>4.0831050228310497</v>
      </c>
      <c r="K152" s="36">
        <f t="shared" si="66"/>
        <v>1.2996926950938155</v>
      </c>
      <c r="L152" s="37">
        <f>$I152*$K152/'Calculation Constants'!$B$7</f>
        <v>2300341.0532633904</v>
      </c>
      <c r="M152" s="37" t="str">
        <f t="shared" si="67"/>
        <v>Greater Dynamic Pressures</v>
      </c>
      <c r="N152" s="23">
        <f t="shared" si="68"/>
        <v>129.9195700152743</v>
      </c>
      <c r="O152" s="57">
        <f t="shared" si="56"/>
        <v>128.8379632593535</v>
      </c>
      <c r="P152" s="66">
        <f>MAX(I152*1000/'Calculation Constants'!$B$14,O152*10*I152*1000/2/('Calculation Constants'!$B$12*1000*'Calculation Constants'!$B$13))</f>
        <v>12.5</v>
      </c>
      <c r="Q152" s="68">
        <f t="shared" si="57"/>
        <v>1225368.3970556525</v>
      </c>
      <c r="R152" s="27">
        <f>(1/(2*LOG(3.7*$I152/'Calculation Constants'!$B$2*1000)))^2</f>
        <v>8.5984950812375404E-3</v>
      </c>
      <c r="S152" s="19">
        <f t="shared" si="69"/>
        <v>0.74029497268187827</v>
      </c>
      <c r="T152" s="19">
        <f>IF($H152&gt;0,'Calculation Constants'!$B$9*Hydraulics!$K152^2/2/9.81/MAX($F$4:$F$253)*$H152,"")</f>
        <v>5.1657526045266834E-2</v>
      </c>
      <c r="U152" s="19">
        <f t="shared" si="70"/>
        <v>0.79195249872714513</v>
      </c>
      <c r="V152" s="19">
        <f t="shared" si="58"/>
        <v>0</v>
      </c>
      <c r="W152" s="19">
        <f t="shared" si="59"/>
        <v>129.9195700152743</v>
      </c>
      <c r="X152" s="23">
        <f t="shared" si="71"/>
        <v>1174.3155700152743</v>
      </c>
      <c r="Y152" s="22">
        <f>(1/(2*LOG(3.7*$I152/'Calculation Constants'!$B$3*1000)))^2</f>
        <v>9.645396509476439E-3</v>
      </c>
      <c r="Z152" s="19">
        <f t="shared" si="60"/>
        <v>0.83042886900867496</v>
      </c>
      <c r="AA152" s="19">
        <f>IF($H152&gt;0,'Calculation Constants'!$B$9*Hydraulics!$K152^2/2/9.81/MAX($F$4:$F$253)*$H152,"")</f>
        <v>5.1657526045266834E-2</v>
      </c>
      <c r="AB152" s="19">
        <f t="shared" si="82"/>
        <v>0.88208639505394182</v>
      </c>
      <c r="AC152" s="19">
        <f t="shared" si="61"/>
        <v>0</v>
      </c>
      <c r="AD152" s="19">
        <f t="shared" si="72"/>
        <v>128.8379632593535</v>
      </c>
      <c r="AE152" s="23">
        <f t="shared" si="73"/>
        <v>1173.2339632593535</v>
      </c>
      <c r="AF152" s="27">
        <f>(1/(2*LOG(3.7*$I152/'Calculation Constants'!$B$4*1000)))^2</f>
        <v>1.1350445400368435E-2</v>
      </c>
      <c r="AG152" s="19">
        <f t="shared" si="62"/>
        <v>0.97722654815818577</v>
      </c>
      <c r="AH152" s="19">
        <f>IF($H152&gt;0,'Calculation Constants'!$B$9*Hydraulics!$K152^2/2/9.81/MAX($F$4:$F$253)*$H152,"")</f>
        <v>5.1657526045266834E-2</v>
      </c>
      <c r="AI152" s="19">
        <f t="shared" si="74"/>
        <v>1.0288840742034526</v>
      </c>
      <c r="AJ152" s="19">
        <f t="shared" si="63"/>
        <v>0</v>
      </c>
      <c r="AK152" s="19">
        <f t="shared" si="75"/>
        <v>127.07639110955847</v>
      </c>
      <c r="AL152" s="23">
        <f t="shared" si="76"/>
        <v>1171.4723911095584</v>
      </c>
      <c r="AM152" s="22">
        <f>(1/(2*LOG(3.7*($I152-0.008)/'Calculation Constants'!$B$5*1000)))^2</f>
        <v>1.4387191027645335E-2</v>
      </c>
      <c r="AN152" s="19">
        <f t="shared" si="77"/>
        <v>1.243652435121851</v>
      </c>
      <c r="AO152" s="19">
        <f>IF($H152&gt;0,'Calculation Constants'!$B$9*Hydraulics!$K152^2/2/9.81/MAX($F$4:$F$253)*$H152,"")</f>
        <v>5.1657526045266834E-2</v>
      </c>
      <c r="AP152" s="19">
        <f t="shared" si="78"/>
        <v>1.2953099611671177</v>
      </c>
      <c r="AQ152" s="19">
        <f t="shared" si="64"/>
        <v>0</v>
      </c>
      <c r="AR152" s="19">
        <f t="shared" si="79"/>
        <v>123.87928046599541</v>
      </c>
      <c r="AS152" s="23">
        <f t="shared" si="80"/>
        <v>1168.2752804659954</v>
      </c>
    </row>
    <row r="153" spans="5:45">
      <c r="E153" s="35" t="str">
        <f t="shared" si="65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1"/>
        <v>2</v>
      </c>
      <c r="I153" s="19">
        <v>2</v>
      </c>
      <c r="J153" s="36">
        <f>'Flow Rate Calculations'!$B$7</f>
        <v>4.0831050228310497</v>
      </c>
      <c r="K153" s="36">
        <f t="shared" si="66"/>
        <v>1.2996926950938155</v>
      </c>
      <c r="L153" s="37">
        <f>$I153*$K153/'Calculation Constants'!$B$7</f>
        <v>2300341.0532633904</v>
      </c>
      <c r="M153" s="37" t="str">
        <f t="shared" si="67"/>
        <v>Greater Dynamic Pressures</v>
      </c>
      <c r="N153" s="23">
        <f t="shared" si="68"/>
        <v>122.18461751654718</v>
      </c>
      <c r="O153" s="57">
        <f t="shared" si="56"/>
        <v>121.01287686429964</v>
      </c>
      <c r="P153" s="66">
        <f>MAX(I153*1000/'Calculation Constants'!$B$14,O153*10*I153*1000/2/('Calculation Constants'!$B$12*1000*'Calculation Constants'!$B$13))</f>
        <v>12.5</v>
      </c>
      <c r="Q153" s="68">
        <f t="shared" si="57"/>
        <v>1225368.3970556525</v>
      </c>
      <c r="R153" s="27">
        <f>(1/(2*LOG(3.7*$I153/'Calculation Constants'!$B$2*1000)))^2</f>
        <v>8.5984950812375404E-3</v>
      </c>
      <c r="S153" s="19">
        <f t="shared" si="69"/>
        <v>0.74029497268187827</v>
      </c>
      <c r="T153" s="19">
        <f>IF($H153&gt;0,'Calculation Constants'!$B$9*Hydraulics!$K153^2/2/9.81/MAX($F$4:$F$253)*$H153,"")</f>
        <v>5.1657526045266834E-2</v>
      </c>
      <c r="U153" s="19">
        <f t="shared" si="70"/>
        <v>0.79195249872714513</v>
      </c>
      <c r="V153" s="19">
        <f t="shared" si="58"/>
        <v>0</v>
      </c>
      <c r="W153" s="19">
        <f t="shared" si="59"/>
        <v>122.18461751654718</v>
      </c>
      <c r="X153" s="23">
        <f t="shared" si="71"/>
        <v>1173.5236175165471</v>
      </c>
      <c r="Y153" s="22">
        <f>(1/(2*LOG(3.7*$I153/'Calculation Constants'!$B$3*1000)))^2</f>
        <v>9.645396509476439E-3</v>
      </c>
      <c r="Z153" s="19">
        <f t="shared" si="60"/>
        <v>0.83042886900867496</v>
      </c>
      <c r="AA153" s="19">
        <f>IF($H153&gt;0,'Calculation Constants'!$B$9*Hydraulics!$K153^2/2/9.81/MAX($F$4:$F$253)*$H153,"")</f>
        <v>5.1657526045266834E-2</v>
      </c>
      <c r="AB153" s="19">
        <f t="shared" si="82"/>
        <v>0.88208639505394182</v>
      </c>
      <c r="AC153" s="19">
        <f t="shared" si="61"/>
        <v>0</v>
      </c>
      <c r="AD153" s="19">
        <f t="shared" si="72"/>
        <v>121.01287686429964</v>
      </c>
      <c r="AE153" s="23">
        <f t="shared" si="73"/>
        <v>1172.3518768642996</v>
      </c>
      <c r="AF153" s="27">
        <f>(1/(2*LOG(3.7*$I153/'Calculation Constants'!$B$4*1000)))^2</f>
        <v>1.1350445400368435E-2</v>
      </c>
      <c r="AG153" s="19">
        <f t="shared" si="62"/>
        <v>0.97722654815818577</v>
      </c>
      <c r="AH153" s="19">
        <f>IF($H153&gt;0,'Calculation Constants'!$B$9*Hydraulics!$K153^2/2/9.81/MAX($F$4:$F$253)*$H153,"")</f>
        <v>5.1657526045266834E-2</v>
      </c>
      <c r="AI153" s="19">
        <f t="shared" si="74"/>
        <v>1.0288840742034526</v>
      </c>
      <c r="AJ153" s="19">
        <f t="shared" si="63"/>
        <v>0</v>
      </c>
      <c r="AK153" s="19">
        <f t="shared" si="75"/>
        <v>119.10450703535503</v>
      </c>
      <c r="AL153" s="23">
        <f t="shared" si="76"/>
        <v>1170.443507035355</v>
      </c>
      <c r="AM153" s="22">
        <f>(1/(2*LOG(3.7*($I153-0.008)/'Calculation Constants'!$B$5*1000)))^2</f>
        <v>1.4387191027645335E-2</v>
      </c>
      <c r="AN153" s="19">
        <f t="shared" si="77"/>
        <v>1.243652435121851</v>
      </c>
      <c r="AO153" s="19">
        <f>IF($H153&gt;0,'Calculation Constants'!$B$9*Hydraulics!$K153^2/2/9.81/MAX($F$4:$F$253)*$H153,"")</f>
        <v>5.1657526045266834E-2</v>
      </c>
      <c r="AP153" s="19">
        <f t="shared" si="78"/>
        <v>1.2953099611671177</v>
      </c>
      <c r="AQ153" s="19">
        <f t="shared" si="64"/>
        <v>0</v>
      </c>
      <c r="AR153" s="19">
        <f t="shared" si="79"/>
        <v>115.64097050482837</v>
      </c>
      <c r="AS153" s="23">
        <f t="shared" si="80"/>
        <v>1166.9799705048283</v>
      </c>
    </row>
    <row r="154" spans="5:45">
      <c r="E154" s="35" t="str">
        <f t="shared" si="65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1"/>
        <v>2</v>
      </c>
      <c r="I154" s="19">
        <v>2</v>
      </c>
      <c r="J154" s="36">
        <f>'Flow Rate Calculations'!$B$7</f>
        <v>4.0831050228310497</v>
      </c>
      <c r="K154" s="36">
        <f t="shared" si="66"/>
        <v>1.2996926950938155</v>
      </c>
      <c r="L154" s="37">
        <f>$I154*$K154/'Calculation Constants'!$B$7</f>
        <v>2300341.0532633904</v>
      </c>
      <c r="M154" s="37" t="str">
        <f t="shared" si="67"/>
        <v>Greater Dynamic Pressures</v>
      </c>
      <c r="N154" s="23">
        <f t="shared" si="68"/>
        <v>111.77666501782005</v>
      </c>
      <c r="O154" s="57">
        <f t="shared" si="56"/>
        <v>110.51479046924578</v>
      </c>
      <c r="P154" s="66">
        <f>MAX(I154*1000/'Calculation Constants'!$B$14,O154*10*I154*1000/2/('Calculation Constants'!$B$12*1000*'Calculation Constants'!$B$13))</f>
        <v>12.5</v>
      </c>
      <c r="Q154" s="68">
        <f t="shared" si="57"/>
        <v>1225368.3970556525</v>
      </c>
      <c r="R154" s="27">
        <f>(1/(2*LOG(3.7*$I154/'Calculation Constants'!$B$2*1000)))^2</f>
        <v>8.5984950812375404E-3</v>
      </c>
      <c r="S154" s="19">
        <f t="shared" si="69"/>
        <v>0.74029497268187827</v>
      </c>
      <c r="T154" s="19">
        <f>IF($H154&gt;0,'Calculation Constants'!$B$9*Hydraulics!$K154^2/2/9.81/MAX($F$4:$F$253)*$H154,"")</f>
        <v>5.1657526045266834E-2</v>
      </c>
      <c r="U154" s="19">
        <f t="shared" si="70"/>
        <v>0.79195249872714513</v>
      </c>
      <c r="V154" s="19">
        <f t="shared" si="58"/>
        <v>0</v>
      </c>
      <c r="W154" s="19">
        <f t="shared" si="59"/>
        <v>111.77666501782005</v>
      </c>
      <c r="X154" s="23">
        <f t="shared" si="71"/>
        <v>1172.73166501782</v>
      </c>
      <c r="Y154" s="22">
        <f>(1/(2*LOG(3.7*$I154/'Calculation Constants'!$B$3*1000)))^2</f>
        <v>9.645396509476439E-3</v>
      </c>
      <c r="Z154" s="19">
        <f t="shared" si="60"/>
        <v>0.83042886900867496</v>
      </c>
      <c r="AA154" s="19">
        <f>IF($H154&gt;0,'Calculation Constants'!$B$9*Hydraulics!$K154^2/2/9.81/MAX($F$4:$F$253)*$H154,"")</f>
        <v>5.1657526045266834E-2</v>
      </c>
      <c r="AB154" s="19">
        <f t="shared" si="82"/>
        <v>0.88208639505394182</v>
      </c>
      <c r="AC154" s="19">
        <f t="shared" si="61"/>
        <v>0</v>
      </c>
      <c r="AD154" s="19">
        <f t="shared" si="72"/>
        <v>110.51479046924578</v>
      </c>
      <c r="AE154" s="23">
        <f t="shared" si="73"/>
        <v>1171.4697904692457</v>
      </c>
      <c r="AF154" s="27">
        <f>(1/(2*LOG(3.7*$I154/'Calculation Constants'!$B$4*1000)))^2</f>
        <v>1.1350445400368435E-2</v>
      </c>
      <c r="AG154" s="19">
        <f t="shared" si="62"/>
        <v>0.97722654815818577</v>
      </c>
      <c r="AH154" s="19">
        <f>IF($H154&gt;0,'Calculation Constants'!$B$9*Hydraulics!$K154^2/2/9.81/MAX($F$4:$F$253)*$H154,"")</f>
        <v>5.1657526045266834E-2</v>
      </c>
      <c r="AI154" s="19">
        <f t="shared" si="74"/>
        <v>1.0288840742034526</v>
      </c>
      <c r="AJ154" s="19">
        <f t="shared" si="63"/>
        <v>0</v>
      </c>
      <c r="AK154" s="19">
        <f t="shared" si="75"/>
        <v>108.45962296115158</v>
      </c>
      <c r="AL154" s="23">
        <f t="shared" si="76"/>
        <v>1169.4146229611515</v>
      </c>
      <c r="AM154" s="22">
        <f>(1/(2*LOG(3.7*($I154-0.008)/'Calculation Constants'!$B$5*1000)))^2</f>
        <v>1.4387191027645335E-2</v>
      </c>
      <c r="AN154" s="19">
        <f t="shared" si="77"/>
        <v>1.243652435121851</v>
      </c>
      <c r="AO154" s="19">
        <f>IF($H154&gt;0,'Calculation Constants'!$B$9*Hydraulics!$K154^2/2/9.81/MAX($F$4:$F$253)*$H154,"")</f>
        <v>5.1657526045266834E-2</v>
      </c>
      <c r="AP154" s="19">
        <f t="shared" si="78"/>
        <v>1.2953099611671177</v>
      </c>
      <c r="AQ154" s="19">
        <f t="shared" si="64"/>
        <v>0</v>
      </c>
      <c r="AR154" s="19">
        <f t="shared" si="79"/>
        <v>104.72966054366134</v>
      </c>
      <c r="AS154" s="23">
        <f t="shared" si="80"/>
        <v>1165.6846605436613</v>
      </c>
    </row>
    <row r="155" spans="5:45">
      <c r="E155" s="35" t="str">
        <f t="shared" si="65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1"/>
        <v>2</v>
      </c>
      <c r="I155" s="19">
        <v>2</v>
      </c>
      <c r="J155" s="36">
        <f>'Flow Rate Calculations'!$B$7</f>
        <v>4.0831050228310497</v>
      </c>
      <c r="K155" s="36">
        <f t="shared" si="66"/>
        <v>1.2996926950938155</v>
      </c>
      <c r="L155" s="37">
        <f>$I155*$K155/'Calculation Constants'!$B$7</f>
        <v>2300341.0532633904</v>
      </c>
      <c r="M155" s="37" t="str">
        <f t="shared" si="67"/>
        <v>Greater Dynamic Pressures</v>
      </c>
      <c r="N155" s="23">
        <f t="shared" si="68"/>
        <v>101.71271251909275</v>
      </c>
      <c r="O155" s="57">
        <f t="shared" si="56"/>
        <v>100.36070407419174</v>
      </c>
      <c r="P155" s="66">
        <f>MAX(I155*1000/'Calculation Constants'!$B$14,O155*10*I155*1000/2/('Calculation Constants'!$B$12*1000*'Calculation Constants'!$B$13))</f>
        <v>12.5</v>
      </c>
      <c r="Q155" s="68">
        <f t="shared" si="57"/>
        <v>1225368.3970556525</v>
      </c>
      <c r="R155" s="27">
        <f>(1/(2*LOG(3.7*$I155/'Calculation Constants'!$B$2*1000)))^2</f>
        <v>8.5984950812375404E-3</v>
      </c>
      <c r="S155" s="19">
        <f t="shared" si="69"/>
        <v>0.74029497268187827</v>
      </c>
      <c r="T155" s="19">
        <f>IF($H155&gt;0,'Calculation Constants'!$B$9*Hydraulics!$K155^2/2/9.81/MAX($F$4:$F$253)*$H155,"")</f>
        <v>5.1657526045266834E-2</v>
      </c>
      <c r="U155" s="19">
        <f t="shared" si="70"/>
        <v>0.79195249872714513</v>
      </c>
      <c r="V155" s="19">
        <f t="shared" si="58"/>
        <v>0</v>
      </c>
      <c r="W155" s="19">
        <f t="shared" si="59"/>
        <v>101.71271251909275</v>
      </c>
      <c r="X155" s="23">
        <f t="shared" si="71"/>
        <v>1171.9397125190928</v>
      </c>
      <c r="Y155" s="22">
        <f>(1/(2*LOG(3.7*$I155/'Calculation Constants'!$B$3*1000)))^2</f>
        <v>9.645396509476439E-3</v>
      </c>
      <c r="Z155" s="19">
        <f t="shared" si="60"/>
        <v>0.83042886900867496</v>
      </c>
      <c r="AA155" s="19">
        <f>IF($H155&gt;0,'Calculation Constants'!$B$9*Hydraulics!$K155^2/2/9.81/MAX($F$4:$F$253)*$H155,"")</f>
        <v>5.1657526045266834E-2</v>
      </c>
      <c r="AB155" s="19">
        <f t="shared" si="82"/>
        <v>0.88208639505394182</v>
      </c>
      <c r="AC155" s="19">
        <f t="shared" si="61"/>
        <v>0</v>
      </c>
      <c r="AD155" s="19">
        <f t="shared" si="72"/>
        <v>100.36070407419174</v>
      </c>
      <c r="AE155" s="23">
        <f t="shared" si="73"/>
        <v>1170.5877040741918</v>
      </c>
      <c r="AF155" s="27">
        <f>(1/(2*LOG(3.7*$I155/'Calculation Constants'!$B$4*1000)))^2</f>
        <v>1.1350445400368435E-2</v>
      </c>
      <c r="AG155" s="19">
        <f t="shared" si="62"/>
        <v>0.97722654815818577</v>
      </c>
      <c r="AH155" s="19">
        <f>IF($H155&gt;0,'Calculation Constants'!$B$9*Hydraulics!$K155^2/2/9.81/MAX($F$4:$F$253)*$H155,"")</f>
        <v>5.1657526045266834E-2</v>
      </c>
      <c r="AI155" s="19">
        <f t="shared" si="74"/>
        <v>1.0288840742034526</v>
      </c>
      <c r="AJ155" s="19">
        <f t="shared" si="63"/>
        <v>0</v>
      </c>
      <c r="AK155" s="19">
        <f t="shared" si="75"/>
        <v>98.158738886947958</v>
      </c>
      <c r="AL155" s="23">
        <f t="shared" si="76"/>
        <v>1168.385738886948</v>
      </c>
      <c r="AM155" s="22">
        <f>(1/(2*LOG(3.7*($I155-0.008)/'Calculation Constants'!$B$5*1000)))^2</f>
        <v>1.4387191027645335E-2</v>
      </c>
      <c r="AN155" s="19">
        <f t="shared" si="77"/>
        <v>1.243652435121851</v>
      </c>
      <c r="AO155" s="19">
        <f>IF($H155&gt;0,'Calculation Constants'!$B$9*Hydraulics!$K155^2/2/9.81/MAX($F$4:$F$253)*$H155,"")</f>
        <v>5.1657526045266834E-2</v>
      </c>
      <c r="AP155" s="19">
        <f t="shared" si="78"/>
        <v>1.2953099611671177</v>
      </c>
      <c r="AQ155" s="19">
        <f t="shared" si="64"/>
        <v>0</v>
      </c>
      <c r="AR155" s="19">
        <f t="shared" si="79"/>
        <v>94.162350582494128</v>
      </c>
      <c r="AS155" s="23">
        <f t="shared" si="80"/>
        <v>1164.3893505824942</v>
      </c>
    </row>
    <row r="156" spans="5:45">
      <c r="E156" s="35" t="str">
        <f t="shared" si="65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1"/>
        <v>2</v>
      </c>
      <c r="I156" s="19">
        <v>2</v>
      </c>
      <c r="J156" s="36">
        <f>'Flow Rate Calculations'!$B$7</f>
        <v>4.0831050228310497</v>
      </c>
      <c r="K156" s="36">
        <f t="shared" si="66"/>
        <v>1.2996926950938155</v>
      </c>
      <c r="L156" s="37">
        <f>$I156*$K156/'Calculation Constants'!$B$7</f>
        <v>2300341.0532633904</v>
      </c>
      <c r="M156" s="37" t="str">
        <f t="shared" si="67"/>
        <v>Greater Dynamic Pressures</v>
      </c>
      <c r="N156" s="23">
        <f t="shared" si="68"/>
        <v>98.456760020365664</v>
      </c>
      <c r="O156" s="57">
        <f t="shared" si="56"/>
        <v>97.014617679137928</v>
      </c>
      <c r="P156" s="66">
        <f>MAX(I156*1000/'Calculation Constants'!$B$14,O156*10*I156*1000/2/('Calculation Constants'!$B$12*1000*'Calculation Constants'!$B$13))</f>
        <v>12.5</v>
      </c>
      <c r="Q156" s="68">
        <f t="shared" si="57"/>
        <v>1225368.3970556525</v>
      </c>
      <c r="R156" s="27">
        <f>(1/(2*LOG(3.7*$I156/'Calculation Constants'!$B$2*1000)))^2</f>
        <v>8.5984950812375404E-3</v>
      </c>
      <c r="S156" s="19">
        <f t="shared" si="69"/>
        <v>0.74029497268187827</v>
      </c>
      <c r="T156" s="19">
        <f>IF($H156&gt;0,'Calculation Constants'!$B$9*Hydraulics!$K156^2/2/9.81/MAX($F$4:$F$253)*$H156,"")</f>
        <v>5.1657526045266834E-2</v>
      </c>
      <c r="U156" s="19">
        <f t="shared" si="70"/>
        <v>0.79195249872714513</v>
      </c>
      <c r="V156" s="19">
        <f t="shared" si="58"/>
        <v>0</v>
      </c>
      <c r="W156" s="19">
        <f t="shared" si="59"/>
        <v>98.456760020365664</v>
      </c>
      <c r="X156" s="23">
        <f t="shared" si="71"/>
        <v>1171.1477600203657</v>
      </c>
      <c r="Y156" s="22">
        <f>(1/(2*LOG(3.7*$I156/'Calculation Constants'!$B$3*1000)))^2</f>
        <v>9.645396509476439E-3</v>
      </c>
      <c r="Z156" s="19">
        <f t="shared" si="60"/>
        <v>0.83042886900867496</v>
      </c>
      <c r="AA156" s="19">
        <f>IF($H156&gt;0,'Calculation Constants'!$B$9*Hydraulics!$K156^2/2/9.81/MAX($F$4:$F$253)*$H156,"")</f>
        <v>5.1657526045266834E-2</v>
      </c>
      <c r="AB156" s="19">
        <f t="shared" si="82"/>
        <v>0.88208639505394182</v>
      </c>
      <c r="AC156" s="19">
        <f t="shared" si="61"/>
        <v>0</v>
      </c>
      <c r="AD156" s="19">
        <f t="shared" si="72"/>
        <v>97.014617679137928</v>
      </c>
      <c r="AE156" s="23">
        <f t="shared" si="73"/>
        <v>1169.705617679138</v>
      </c>
      <c r="AF156" s="27">
        <f>(1/(2*LOG(3.7*$I156/'Calculation Constants'!$B$4*1000)))^2</f>
        <v>1.1350445400368435E-2</v>
      </c>
      <c r="AG156" s="19">
        <f t="shared" si="62"/>
        <v>0.97722654815818577</v>
      </c>
      <c r="AH156" s="19">
        <f>IF($H156&gt;0,'Calculation Constants'!$B$9*Hydraulics!$K156^2/2/9.81/MAX($F$4:$F$253)*$H156,"")</f>
        <v>5.1657526045266834E-2</v>
      </c>
      <c r="AI156" s="19">
        <f t="shared" si="74"/>
        <v>1.0288840742034526</v>
      </c>
      <c r="AJ156" s="19">
        <f t="shared" si="63"/>
        <v>0</v>
      </c>
      <c r="AK156" s="19">
        <f t="shared" si="75"/>
        <v>94.665854812744556</v>
      </c>
      <c r="AL156" s="23">
        <f t="shared" si="76"/>
        <v>1167.3568548127446</v>
      </c>
      <c r="AM156" s="22">
        <f>(1/(2*LOG(3.7*($I156-0.008)/'Calculation Constants'!$B$5*1000)))^2</f>
        <v>1.4387191027645335E-2</v>
      </c>
      <c r="AN156" s="19">
        <f t="shared" si="77"/>
        <v>1.243652435121851</v>
      </c>
      <c r="AO156" s="19">
        <f>IF($H156&gt;0,'Calculation Constants'!$B$9*Hydraulics!$K156^2/2/9.81/MAX($F$4:$F$253)*$H156,"")</f>
        <v>5.1657526045266834E-2</v>
      </c>
      <c r="AP156" s="19">
        <f t="shared" si="78"/>
        <v>1.2953099611671177</v>
      </c>
      <c r="AQ156" s="19">
        <f t="shared" si="64"/>
        <v>0</v>
      </c>
      <c r="AR156" s="19">
        <f t="shared" si="79"/>
        <v>90.403040621327136</v>
      </c>
      <c r="AS156" s="23">
        <f t="shared" si="80"/>
        <v>1163.0940406213272</v>
      </c>
    </row>
    <row r="157" spans="5:45">
      <c r="E157" s="35" t="str">
        <f t="shared" si="65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1"/>
        <v>2</v>
      </c>
      <c r="I157" s="19">
        <v>2</v>
      </c>
      <c r="J157" s="36">
        <f>'Flow Rate Calculations'!$B$7</f>
        <v>4.0831050228310497</v>
      </c>
      <c r="K157" s="36">
        <f t="shared" si="66"/>
        <v>1.2996926950938155</v>
      </c>
      <c r="L157" s="37">
        <f>$I157*$K157/'Calculation Constants'!$B$7</f>
        <v>2300341.0532633904</v>
      </c>
      <c r="M157" s="37" t="str">
        <f t="shared" si="67"/>
        <v>Greater Dynamic Pressures</v>
      </c>
      <c r="N157" s="23">
        <f t="shared" si="68"/>
        <v>93.852807521638624</v>
      </c>
      <c r="O157" s="57">
        <f t="shared" si="56"/>
        <v>92.320531284084154</v>
      </c>
      <c r="P157" s="66">
        <f>MAX(I157*1000/'Calculation Constants'!$B$14,O157*10*I157*1000/2/('Calculation Constants'!$B$12*1000*'Calculation Constants'!$B$13))</f>
        <v>12.5</v>
      </c>
      <c r="Q157" s="68">
        <f t="shared" si="57"/>
        <v>1225368.3970556525</v>
      </c>
      <c r="R157" s="27">
        <f>(1/(2*LOG(3.7*$I157/'Calculation Constants'!$B$2*1000)))^2</f>
        <v>8.5984950812375404E-3</v>
      </c>
      <c r="S157" s="19">
        <f t="shared" si="69"/>
        <v>0.74029497268187827</v>
      </c>
      <c r="T157" s="19">
        <f>IF($H157&gt;0,'Calculation Constants'!$B$9*Hydraulics!$K157^2/2/9.81/MAX($F$4:$F$253)*$H157,"")</f>
        <v>5.1657526045266834E-2</v>
      </c>
      <c r="U157" s="19">
        <f t="shared" si="70"/>
        <v>0.79195249872714513</v>
      </c>
      <c r="V157" s="19">
        <f t="shared" si="58"/>
        <v>0</v>
      </c>
      <c r="W157" s="19">
        <f t="shared" si="59"/>
        <v>93.852807521638624</v>
      </c>
      <c r="X157" s="23">
        <f t="shared" si="71"/>
        <v>1170.3558075216386</v>
      </c>
      <c r="Y157" s="22">
        <f>(1/(2*LOG(3.7*$I157/'Calculation Constants'!$B$3*1000)))^2</f>
        <v>9.645396509476439E-3</v>
      </c>
      <c r="Z157" s="19">
        <f t="shared" si="60"/>
        <v>0.83042886900867496</v>
      </c>
      <c r="AA157" s="19">
        <f>IF($H157&gt;0,'Calculation Constants'!$B$9*Hydraulics!$K157^2/2/9.81/MAX($F$4:$F$253)*$H157,"")</f>
        <v>5.1657526045266834E-2</v>
      </c>
      <c r="AB157" s="19">
        <f t="shared" si="82"/>
        <v>0.88208639505394182</v>
      </c>
      <c r="AC157" s="19">
        <f t="shared" si="61"/>
        <v>0</v>
      </c>
      <c r="AD157" s="19">
        <f t="shared" si="72"/>
        <v>92.320531284084154</v>
      </c>
      <c r="AE157" s="23">
        <f t="shared" si="73"/>
        <v>1168.8235312840841</v>
      </c>
      <c r="AF157" s="27">
        <f>(1/(2*LOG(3.7*$I157/'Calculation Constants'!$B$4*1000)))^2</f>
        <v>1.1350445400368435E-2</v>
      </c>
      <c r="AG157" s="19">
        <f t="shared" si="62"/>
        <v>0.97722654815818577</v>
      </c>
      <c r="AH157" s="19">
        <f>IF($H157&gt;0,'Calculation Constants'!$B$9*Hydraulics!$K157^2/2/9.81/MAX($F$4:$F$253)*$H157,"")</f>
        <v>5.1657526045266834E-2</v>
      </c>
      <c r="AI157" s="19">
        <f t="shared" si="74"/>
        <v>1.0288840742034526</v>
      </c>
      <c r="AJ157" s="19">
        <f t="shared" si="63"/>
        <v>0</v>
      </c>
      <c r="AK157" s="19">
        <f t="shared" si="75"/>
        <v>89.824970738541197</v>
      </c>
      <c r="AL157" s="23">
        <f t="shared" si="76"/>
        <v>1166.3279707385411</v>
      </c>
      <c r="AM157" s="22">
        <f>(1/(2*LOG(3.7*($I157-0.008)/'Calculation Constants'!$B$5*1000)))^2</f>
        <v>1.4387191027645335E-2</v>
      </c>
      <c r="AN157" s="19">
        <f t="shared" si="77"/>
        <v>1.243652435121851</v>
      </c>
      <c r="AO157" s="19">
        <f>IF($H157&gt;0,'Calculation Constants'!$B$9*Hydraulics!$K157^2/2/9.81/MAX($F$4:$F$253)*$H157,"")</f>
        <v>5.1657526045266834E-2</v>
      </c>
      <c r="AP157" s="19">
        <f t="shared" si="78"/>
        <v>1.2953099611671177</v>
      </c>
      <c r="AQ157" s="19">
        <f t="shared" si="64"/>
        <v>0</v>
      </c>
      <c r="AR157" s="19">
        <f t="shared" si="79"/>
        <v>85.295730660160189</v>
      </c>
      <c r="AS157" s="23">
        <f t="shared" si="80"/>
        <v>1161.7987306601601</v>
      </c>
    </row>
    <row r="158" spans="5:45">
      <c r="E158" s="35" t="str">
        <f t="shared" si="65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1"/>
        <v>2</v>
      </c>
      <c r="I158" s="19">
        <v>2</v>
      </c>
      <c r="J158" s="36">
        <f>'Flow Rate Calculations'!$B$7</f>
        <v>4.0831050228310497</v>
      </c>
      <c r="K158" s="36">
        <f t="shared" si="66"/>
        <v>1.2996926950938155</v>
      </c>
      <c r="L158" s="37">
        <f>$I158*$K158/'Calculation Constants'!$B$7</f>
        <v>2300341.0532633904</v>
      </c>
      <c r="M158" s="37" t="str">
        <f t="shared" si="67"/>
        <v>Greater Dynamic Pressures</v>
      </c>
      <c r="N158" s="23">
        <f t="shared" si="68"/>
        <v>85.567855022911317</v>
      </c>
      <c r="O158" s="57">
        <f t="shared" si="56"/>
        <v>83.945444889030114</v>
      </c>
      <c r="P158" s="66">
        <f>MAX(I158*1000/'Calculation Constants'!$B$14,O158*10*I158*1000/2/('Calculation Constants'!$B$12*1000*'Calculation Constants'!$B$13))</f>
        <v>12.5</v>
      </c>
      <c r="Q158" s="68">
        <f t="shared" si="57"/>
        <v>1225368.3970556525</v>
      </c>
      <c r="R158" s="27">
        <f>(1/(2*LOG(3.7*$I158/'Calculation Constants'!$B$2*1000)))^2</f>
        <v>8.5984950812375404E-3</v>
      </c>
      <c r="S158" s="19">
        <f t="shared" si="69"/>
        <v>0.74029497268187827</v>
      </c>
      <c r="T158" s="19">
        <f>IF($H158&gt;0,'Calculation Constants'!$B$9*Hydraulics!$K158^2/2/9.81/MAX($F$4:$F$253)*$H158,"")</f>
        <v>5.1657526045266834E-2</v>
      </c>
      <c r="U158" s="19">
        <f t="shared" si="70"/>
        <v>0.79195249872714513</v>
      </c>
      <c r="V158" s="19">
        <f t="shared" si="58"/>
        <v>0</v>
      </c>
      <c r="W158" s="19">
        <f t="shared" si="59"/>
        <v>85.567855022911317</v>
      </c>
      <c r="X158" s="23">
        <f t="shared" si="71"/>
        <v>1169.5638550229114</v>
      </c>
      <c r="Y158" s="22">
        <f>(1/(2*LOG(3.7*$I158/'Calculation Constants'!$B$3*1000)))^2</f>
        <v>9.645396509476439E-3</v>
      </c>
      <c r="Z158" s="19">
        <f t="shared" si="60"/>
        <v>0.83042886900867496</v>
      </c>
      <c r="AA158" s="19">
        <f>IF($H158&gt;0,'Calculation Constants'!$B$9*Hydraulics!$K158^2/2/9.81/MAX($F$4:$F$253)*$H158,"")</f>
        <v>5.1657526045266834E-2</v>
      </c>
      <c r="AB158" s="19">
        <f t="shared" si="82"/>
        <v>0.88208639505394182</v>
      </c>
      <c r="AC158" s="19">
        <f t="shared" si="61"/>
        <v>0</v>
      </c>
      <c r="AD158" s="19">
        <f t="shared" si="72"/>
        <v>83.945444889030114</v>
      </c>
      <c r="AE158" s="23">
        <f t="shared" si="73"/>
        <v>1167.9414448890302</v>
      </c>
      <c r="AF158" s="27">
        <f>(1/(2*LOG(3.7*$I158/'Calculation Constants'!$B$4*1000)))^2</f>
        <v>1.1350445400368435E-2</v>
      </c>
      <c r="AG158" s="19">
        <f t="shared" si="62"/>
        <v>0.97722654815818577</v>
      </c>
      <c r="AH158" s="19">
        <f>IF($H158&gt;0,'Calculation Constants'!$B$9*Hydraulics!$K158^2/2/9.81/MAX($F$4:$F$253)*$H158,"")</f>
        <v>5.1657526045266834E-2</v>
      </c>
      <c r="AI158" s="19">
        <f t="shared" si="74"/>
        <v>1.0288840742034526</v>
      </c>
      <c r="AJ158" s="19">
        <f t="shared" si="63"/>
        <v>0</v>
      </c>
      <c r="AK158" s="19">
        <f t="shared" si="75"/>
        <v>81.30308666433757</v>
      </c>
      <c r="AL158" s="23">
        <f t="shared" si="76"/>
        <v>1165.2990866643377</v>
      </c>
      <c r="AM158" s="22">
        <f>(1/(2*LOG(3.7*($I158-0.008)/'Calculation Constants'!$B$5*1000)))^2</f>
        <v>1.4387191027645335E-2</v>
      </c>
      <c r="AN158" s="19">
        <f t="shared" si="77"/>
        <v>1.243652435121851</v>
      </c>
      <c r="AO158" s="19">
        <f>IF($H158&gt;0,'Calculation Constants'!$B$9*Hydraulics!$K158^2/2/9.81/MAX($F$4:$F$253)*$H158,"")</f>
        <v>5.1657526045266834E-2</v>
      </c>
      <c r="AP158" s="19">
        <f t="shared" si="78"/>
        <v>1.2953099611671177</v>
      </c>
      <c r="AQ158" s="19">
        <f t="shared" si="64"/>
        <v>0</v>
      </c>
      <c r="AR158" s="19">
        <f t="shared" si="79"/>
        <v>76.507420698992973</v>
      </c>
      <c r="AS158" s="23">
        <f t="shared" si="80"/>
        <v>1160.5034206989931</v>
      </c>
    </row>
    <row r="159" spans="5:45">
      <c r="E159" s="35" t="str">
        <f t="shared" si="65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1"/>
        <v>2</v>
      </c>
      <c r="I159" s="19">
        <v>2</v>
      </c>
      <c r="J159" s="36">
        <f>'Flow Rate Calculations'!$B$7</f>
        <v>4.0831050228310497</v>
      </c>
      <c r="K159" s="36">
        <f t="shared" si="66"/>
        <v>1.2996926950938155</v>
      </c>
      <c r="L159" s="37">
        <f>$I159*$K159/'Calculation Constants'!$B$7</f>
        <v>2300341.0532633904</v>
      </c>
      <c r="M159" s="37" t="str">
        <f t="shared" si="67"/>
        <v>Greater Dynamic Pressures</v>
      </c>
      <c r="N159" s="23">
        <f t="shared" si="68"/>
        <v>71.583902524184168</v>
      </c>
      <c r="O159" s="57">
        <f t="shared" si="56"/>
        <v>69.871358493976231</v>
      </c>
      <c r="P159" s="66">
        <f>MAX(I159*1000/'Calculation Constants'!$B$14,O159*10*I159*1000/2/('Calculation Constants'!$B$12*1000*'Calculation Constants'!$B$13))</f>
        <v>12.5</v>
      </c>
      <c r="Q159" s="68">
        <f t="shared" si="57"/>
        <v>1225368.3970556525</v>
      </c>
      <c r="R159" s="27">
        <f>(1/(2*LOG(3.7*$I159/'Calculation Constants'!$B$2*1000)))^2</f>
        <v>8.5984950812375404E-3</v>
      </c>
      <c r="S159" s="19">
        <f t="shared" si="69"/>
        <v>0.74029497268187827</v>
      </c>
      <c r="T159" s="19">
        <f>IF($H159&gt;0,'Calculation Constants'!$B$9*Hydraulics!$K159^2/2/9.81/MAX($F$4:$F$253)*$H159,"")</f>
        <v>5.1657526045266834E-2</v>
      </c>
      <c r="U159" s="19">
        <f t="shared" si="70"/>
        <v>0.79195249872714513</v>
      </c>
      <c r="V159" s="19">
        <f t="shared" si="58"/>
        <v>0</v>
      </c>
      <c r="W159" s="19">
        <f t="shared" si="59"/>
        <v>71.583902524184168</v>
      </c>
      <c r="X159" s="23">
        <f t="shared" si="71"/>
        <v>1168.7719025241843</v>
      </c>
      <c r="Y159" s="22">
        <f>(1/(2*LOG(3.7*$I159/'Calculation Constants'!$B$3*1000)))^2</f>
        <v>9.645396509476439E-3</v>
      </c>
      <c r="Z159" s="19">
        <f t="shared" si="60"/>
        <v>0.83042886900867496</v>
      </c>
      <c r="AA159" s="19">
        <f>IF($H159&gt;0,'Calculation Constants'!$B$9*Hydraulics!$K159^2/2/9.81/MAX($F$4:$F$253)*$H159,"")</f>
        <v>5.1657526045266834E-2</v>
      </c>
      <c r="AB159" s="19">
        <f t="shared" si="82"/>
        <v>0.88208639505394182</v>
      </c>
      <c r="AC159" s="19">
        <f t="shared" si="61"/>
        <v>0</v>
      </c>
      <c r="AD159" s="19">
        <f t="shared" si="72"/>
        <v>69.871358493976231</v>
      </c>
      <c r="AE159" s="23">
        <f t="shared" si="73"/>
        <v>1167.0593584939763</v>
      </c>
      <c r="AF159" s="27">
        <f>(1/(2*LOG(3.7*$I159/'Calculation Constants'!$B$4*1000)))^2</f>
        <v>1.1350445400368435E-2</v>
      </c>
      <c r="AG159" s="19">
        <f t="shared" si="62"/>
        <v>0.97722654815818577</v>
      </c>
      <c r="AH159" s="19">
        <f>IF($H159&gt;0,'Calculation Constants'!$B$9*Hydraulics!$K159^2/2/9.81/MAX($F$4:$F$253)*$H159,"")</f>
        <v>5.1657526045266834E-2</v>
      </c>
      <c r="AI159" s="19">
        <f t="shared" si="74"/>
        <v>1.0288840742034526</v>
      </c>
      <c r="AJ159" s="19">
        <f t="shared" si="63"/>
        <v>0</v>
      </c>
      <c r="AK159" s="19">
        <f t="shared" si="75"/>
        <v>67.082202590134102</v>
      </c>
      <c r="AL159" s="23">
        <f t="shared" si="76"/>
        <v>1164.2702025901342</v>
      </c>
      <c r="AM159" s="22">
        <f>(1/(2*LOG(3.7*($I159-0.008)/'Calculation Constants'!$B$5*1000)))^2</f>
        <v>1.4387191027645335E-2</v>
      </c>
      <c r="AN159" s="19">
        <f t="shared" si="77"/>
        <v>1.243652435121851</v>
      </c>
      <c r="AO159" s="19">
        <f>IF($H159&gt;0,'Calculation Constants'!$B$9*Hydraulics!$K159^2/2/9.81/MAX($F$4:$F$253)*$H159,"")</f>
        <v>5.1657526045266834E-2</v>
      </c>
      <c r="AP159" s="19">
        <f t="shared" si="78"/>
        <v>1.2953099611671177</v>
      </c>
      <c r="AQ159" s="19">
        <f t="shared" si="64"/>
        <v>0</v>
      </c>
      <c r="AR159" s="19">
        <f t="shared" si="79"/>
        <v>62.020110737825917</v>
      </c>
      <c r="AS159" s="23">
        <f t="shared" si="80"/>
        <v>1159.208110737826</v>
      </c>
    </row>
    <row r="160" spans="5:45">
      <c r="E160" s="35" t="str">
        <f t="shared" si="65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1"/>
        <v>2</v>
      </c>
      <c r="I160" s="19">
        <v>2</v>
      </c>
      <c r="J160" s="36">
        <f>'Flow Rate Calculations'!$B$7</f>
        <v>4.0831050228310497</v>
      </c>
      <c r="K160" s="36">
        <f t="shared" si="66"/>
        <v>1.2996926950938155</v>
      </c>
      <c r="L160" s="37">
        <f>$I160*$K160/'Calculation Constants'!$B$7</f>
        <v>2300341.0532633904</v>
      </c>
      <c r="M160" s="37" t="str">
        <f t="shared" si="67"/>
        <v>Greater Dynamic Pressures</v>
      </c>
      <c r="N160" s="23">
        <f t="shared" si="68"/>
        <v>64.434950025457056</v>
      </c>
      <c r="O160" s="57">
        <f t="shared" si="56"/>
        <v>62.632272098922385</v>
      </c>
      <c r="P160" s="66">
        <f>MAX(I160*1000/'Calculation Constants'!$B$14,O160*10*I160*1000/2/('Calculation Constants'!$B$12*1000*'Calculation Constants'!$B$13))</f>
        <v>12.5</v>
      </c>
      <c r="Q160" s="68">
        <f t="shared" si="57"/>
        <v>1225368.3970556525</v>
      </c>
      <c r="R160" s="27">
        <f>(1/(2*LOG(3.7*$I160/'Calculation Constants'!$B$2*1000)))^2</f>
        <v>8.5984950812375404E-3</v>
      </c>
      <c r="S160" s="19">
        <f t="shared" si="69"/>
        <v>0.74029497268187827</v>
      </c>
      <c r="T160" s="19">
        <f>IF($H160&gt;0,'Calculation Constants'!$B$9*Hydraulics!$K160^2/2/9.81/MAX($F$4:$F$253)*$H160,"")</f>
        <v>5.1657526045266834E-2</v>
      </c>
      <c r="U160" s="19">
        <f t="shared" si="70"/>
        <v>0.79195249872714513</v>
      </c>
      <c r="V160" s="19">
        <f t="shared" si="58"/>
        <v>0</v>
      </c>
      <c r="W160" s="19">
        <f t="shared" si="59"/>
        <v>64.434950025457056</v>
      </c>
      <c r="X160" s="23">
        <f t="shared" si="71"/>
        <v>1167.9799500254571</v>
      </c>
      <c r="Y160" s="22">
        <f>(1/(2*LOG(3.7*$I160/'Calculation Constants'!$B$3*1000)))^2</f>
        <v>9.645396509476439E-3</v>
      </c>
      <c r="Z160" s="19">
        <f t="shared" si="60"/>
        <v>0.83042886900867496</v>
      </c>
      <c r="AA160" s="19">
        <f>IF($H160&gt;0,'Calculation Constants'!$B$9*Hydraulics!$K160^2/2/9.81/MAX($F$4:$F$253)*$H160,"")</f>
        <v>5.1657526045266834E-2</v>
      </c>
      <c r="AB160" s="19">
        <f t="shared" si="82"/>
        <v>0.88208639505394182</v>
      </c>
      <c r="AC160" s="19">
        <f t="shared" si="61"/>
        <v>0</v>
      </c>
      <c r="AD160" s="19">
        <f t="shared" si="72"/>
        <v>62.632272098922385</v>
      </c>
      <c r="AE160" s="23">
        <f t="shared" si="73"/>
        <v>1166.1772720989225</v>
      </c>
      <c r="AF160" s="27">
        <f>(1/(2*LOG(3.7*$I160/'Calculation Constants'!$B$4*1000)))^2</f>
        <v>1.1350445400368435E-2</v>
      </c>
      <c r="AG160" s="19">
        <f t="shared" si="62"/>
        <v>0.97722654815818577</v>
      </c>
      <c r="AH160" s="19">
        <f>IF($H160&gt;0,'Calculation Constants'!$B$9*Hydraulics!$K160^2/2/9.81/MAX($F$4:$F$253)*$H160,"")</f>
        <v>5.1657526045266834E-2</v>
      </c>
      <c r="AI160" s="19">
        <f t="shared" si="74"/>
        <v>1.0288840742034526</v>
      </c>
      <c r="AJ160" s="19">
        <f t="shared" si="63"/>
        <v>0</v>
      </c>
      <c r="AK160" s="19">
        <f t="shared" si="75"/>
        <v>59.69631851593067</v>
      </c>
      <c r="AL160" s="23">
        <f t="shared" si="76"/>
        <v>1163.2413185159307</v>
      </c>
      <c r="AM160" s="22">
        <f>(1/(2*LOG(3.7*($I160-0.008)/'Calculation Constants'!$B$5*1000)))^2</f>
        <v>1.4387191027645335E-2</v>
      </c>
      <c r="AN160" s="19">
        <f t="shared" si="77"/>
        <v>1.243652435121851</v>
      </c>
      <c r="AO160" s="19">
        <f>IF($H160&gt;0,'Calculation Constants'!$B$9*Hydraulics!$K160^2/2/9.81/MAX($F$4:$F$253)*$H160,"")</f>
        <v>5.1657526045266834E-2</v>
      </c>
      <c r="AP160" s="19">
        <f t="shared" si="78"/>
        <v>1.2953099611671177</v>
      </c>
      <c r="AQ160" s="19">
        <f t="shared" si="64"/>
        <v>0</v>
      </c>
      <c r="AR160" s="19">
        <f t="shared" si="79"/>
        <v>54.367800776658896</v>
      </c>
      <c r="AS160" s="23">
        <f t="shared" si="80"/>
        <v>1157.912800776659</v>
      </c>
    </row>
    <row r="161" spans="5:45">
      <c r="E161" s="35" t="str">
        <f t="shared" si="65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1"/>
        <v>2</v>
      </c>
      <c r="I161" s="19">
        <v>2</v>
      </c>
      <c r="J161" s="36">
        <f>'Flow Rate Calculations'!$B$7</f>
        <v>4.0831050228310497</v>
      </c>
      <c r="K161" s="36">
        <f t="shared" si="66"/>
        <v>1.2996926950938155</v>
      </c>
      <c r="L161" s="37">
        <f>$I161*$K161/'Calculation Constants'!$B$7</f>
        <v>2300341.0532633904</v>
      </c>
      <c r="M161" s="37" t="str">
        <f t="shared" si="67"/>
        <v>Greater Dynamic Pressures</v>
      </c>
      <c r="N161" s="23">
        <f t="shared" si="68"/>
        <v>62.013997526730009</v>
      </c>
      <c r="O161" s="57">
        <f t="shared" si="56"/>
        <v>60.121185703868605</v>
      </c>
      <c r="P161" s="66">
        <f>MAX(I161*1000/'Calculation Constants'!$B$14,O161*10*I161*1000/2/('Calculation Constants'!$B$12*1000*'Calculation Constants'!$B$13))</f>
        <v>12.5</v>
      </c>
      <c r="Q161" s="68">
        <f t="shared" si="57"/>
        <v>1225368.3970556525</v>
      </c>
      <c r="R161" s="27">
        <f>(1/(2*LOG(3.7*$I161/'Calculation Constants'!$B$2*1000)))^2</f>
        <v>8.5984950812375404E-3</v>
      </c>
      <c r="S161" s="19">
        <f t="shared" si="69"/>
        <v>0.74029497268187827</v>
      </c>
      <c r="T161" s="19">
        <f>IF($H161&gt;0,'Calculation Constants'!$B$9*Hydraulics!$K161^2/2/9.81/MAX($F$4:$F$253)*$H161,"")</f>
        <v>5.1657526045266834E-2</v>
      </c>
      <c r="U161" s="19">
        <f t="shared" si="70"/>
        <v>0.79195249872714513</v>
      </c>
      <c r="V161" s="19">
        <f t="shared" si="58"/>
        <v>0</v>
      </c>
      <c r="W161" s="19">
        <f t="shared" si="59"/>
        <v>62.013997526730009</v>
      </c>
      <c r="X161" s="23">
        <f t="shared" si="71"/>
        <v>1167.18799752673</v>
      </c>
      <c r="Y161" s="22">
        <f>(1/(2*LOG(3.7*$I161/'Calculation Constants'!$B$3*1000)))^2</f>
        <v>9.645396509476439E-3</v>
      </c>
      <c r="Z161" s="19">
        <f t="shared" si="60"/>
        <v>0.83042886900867496</v>
      </c>
      <c r="AA161" s="19">
        <f>IF($H161&gt;0,'Calculation Constants'!$B$9*Hydraulics!$K161^2/2/9.81/MAX($F$4:$F$253)*$H161,"")</f>
        <v>5.1657526045266834E-2</v>
      </c>
      <c r="AB161" s="19">
        <f t="shared" si="82"/>
        <v>0.88208639505394182</v>
      </c>
      <c r="AC161" s="19">
        <f t="shared" si="61"/>
        <v>0</v>
      </c>
      <c r="AD161" s="19">
        <f t="shared" si="72"/>
        <v>60.121185703868605</v>
      </c>
      <c r="AE161" s="23">
        <f t="shared" si="73"/>
        <v>1165.2951857038686</v>
      </c>
      <c r="AF161" s="27">
        <f>(1/(2*LOG(3.7*$I161/'Calculation Constants'!$B$4*1000)))^2</f>
        <v>1.1350445400368435E-2</v>
      </c>
      <c r="AG161" s="19">
        <f t="shared" si="62"/>
        <v>0.97722654815818577</v>
      </c>
      <c r="AH161" s="19">
        <f>IF($H161&gt;0,'Calculation Constants'!$B$9*Hydraulics!$K161^2/2/9.81/MAX($F$4:$F$253)*$H161,"")</f>
        <v>5.1657526045266834E-2</v>
      </c>
      <c r="AI161" s="19">
        <f t="shared" si="74"/>
        <v>1.0288840742034526</v>
      </c>
      <c r="AJ161" s="19">
        <f t="shared" si="63"/>
        <v>0</v>
      </c>
      <c r="AK161" s="19">
        <f t="shared" si="75"/>
        <v>57.038434441727304</v>
      </c>
      <c r="AL161" s="23">
        <f t="shared" si="76"/>
        <v>1162.2124344417273</v>
      </c>
      <c r="AM161" s="22">
        <f>(1/(2*LOG(3.7*($I161-0.008)/'Calculation Constants'!$B$5*1000)))^2</f>
        <v>1.4387191027645335E-2</v>
      </c>
      <c r="AN161" s="19">
        <f t="shared" si="77"/>
        <v>1.243652435121851</v>
      </c>
      <c r="AO161" s="19">
        <f>IF($H161&gt;0,'Calculation Constants'!$B$9*Hydraulics!$K161^2/2/9.81/MAX($F$4:$F$253)*$H161,"")</f>
        <v>5.1657526045266834E-2</v>
      </c>
      <c r="AP161" s="19">
        <f t="shared" si="78"/>
        <v>1.2953099611671177</v>
      </c>
      <c r="AQ161" s="19">
        <f t="shared" si="64"/>
        <v>0</v>
      </c>
      <c r="AR161" s="19">
        <f t="shared" si="79"/>
        <v>51.443490815491941</v>
      </c>
      <c r="AS161" s="23">
        <f t="shared" si="80"/>
        <v>1156.6174908154919</v>
      </c>
    </row>
    <row r="162" spans="5:45">
      <c r="E162" s="35" t="str">
        <f t="shared" si="65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1"/>
        <v>2</v>
      </c>
      <c r="I162" s="19">
        <v>2</v>
      </c>
      <c r="J162" s="36">
        <f>'Flow Rate Calculations'!$B$7</f>
        <v>4.0831050228310497</v>
      </c>
      <c r="K162" s="36">
        <f t="shared" si="66"/>
        <v>1.2996926950938155</v>
      </c>
      <c r="L162" s="37">
        <f>$I162*$K162/'Calculation Constants'!$B$7</f>
        <v>2300341.0532633904</v>
      </c>
      <c r="M162" s="37" t="str">
        <f t="shared" si="67"/>
        <v>Greater Dynamic Pressures</v>
      </c>
      <c r="N162" s="23">
        <f t="shared" si="68"/>
        <v>54.73904502800292</v>
      </c>
      <c r="O162" s="57">
        <f t="shared" si="56"/>
        <v>52.756099308814782</v>
      </c>
      <c r="P162" s="66">
        <f>MAX(I162*1000/'Calculation Constants'!$B$14,O162*10*I162*1000/2/('Calculation Constants'!$B$12*1000*'Calculation Constants'!$B$13))</f>
        <v>12.5</v>
      </c>
      <c r="Q162" s="68">
        <f t="shared" si="57"/>
        <v>1225368.3970556525</v>
      </c>
      <c r="R162" s="27">
        <f>(1/(2*LOG(3.7*$I162/'Calculation Constants'!$B$2*1000)))^2</f>
        <v>8.5984950812375404E-3</v>
      </c>
      <c r="S162" s="19">
        <f t="shared" si="69"/>
        <v>0.74029497268187827</v>
      </c>
      <c r="T162" s="19">
        <f>IF($H162&gt;0,'Calculation Constants'!$B$9*Hydraulics!$K162^2/2/9.81/MAX($F$4:$F$253)*$H162,"")</f>
        <v>5.1657526045266834E-2</v>
      </c>
      <c r="U162" s="19">
        <f t="shared" si="70"/>
        <v>0.79195249872714513</v>
      </c>
      <c r="V162" s="19">
        <f t="shared" si="58"/>
        <v>0</v>
      </c>
      <c r="W162" s="19">
        <f t="shared" si="59"/>
        <v>54.73904502800292</v>
      </c>
      <c r="X162" s="23">
        <f t="shared" si="71"/>
        <v>1166.3960450280028</v>
      </c>
      <c r="Y162" s="22">
        <f>(1/(2*LOG(3.7*$I162/'Calculation Constants'!$B$3*1000)))^2</f>
        <v>9.645396509476439E-3</v>
      </c>
      <c r="Z162" s="19">
        <f t="shared" si="60"/>
        <v>0.83042886900867496</v>
      </c>
      <c r="AA162" s="19">
        <f>IF($H162&gt;0,'Calculation Constants'!$B$9*Hydraulics!$K162^2/2/9.81/MAX($F$4:$F$253)*$H162,"")</f>
        <v>5.1657526045266834E-2</v>
      </c>
      <c r="AB162" s="19">
        <f t="shared" si="82"/>
        <v>0.88208639505394182</v>
      </c>
      <c r="AC162" s="19">
        <f t="shared" si="61"/>
        <v>0</v>
      </c>
      <c r="AD162" s="19">
        <f t="shared" si="72"/>
        <v>52.756099308814782</v>
      </c>
      <c r="AE162" s="23">
        <f t="shared" si="73"/>
        <v>1164.4130993088147</v>
      </c>
      <c r="AF162" s="27">
        <f>(1/(2*LOG(3.7*$I162/'Calculation Constants'!$B$4*1000)))^2</f>
        <v>1.1350445400368435E-2</v>
      </c>
      <c r="AG162" s="19">
        <f t="shared" si="62"/>
        <v>0.97722654815818577</v>
      </c>
      <c r="AH162" s="19">
        <f>IF($H162&gt;0,'Calculation Constants'!$B$9*Hydraulics!$K162^2/2/9.81/MAX($F$4:$F$253)*$H162,"")</f>
        <v>5.1657526045266834E-2</v>
      </c>
      <c r="AI162" s="19">
        <f t="shared" si="74"/>
        <v>1.0288840742034526</v>
      </c>
      <c r="AJ162" s="19">
        <f t="shared" si="63"/>
        <v>0</v>
      </c>
      <c r="AK162" s="19">
        <f t="shared" si="75"/>
        <v>49.526550367523896</v>
      </c>
      <c r="AL162" s="23">
        <f t="shared" si="76"/>
        <v>1161.1835503675238</v>
      </c>
      <c r="AM162" s="22">
        <f>(1/(2*LOG(3.7*($I162-0.008)/'Calculation Constants'!$B$5*1000)))^2</f>
        <v>1.4387191027645335E-2</v>
      </c>
      <c r="AN162" s="19">
        <f t="shared" si="77"/>
        <v>1.243652435121851</v>
      </c>
      <c r="AO162" s="19">
        <f>IF($H162&gt;0,'Calculation Constants'!$B$9*Hydraulics!$K162^2/2/9.81/MAX($F$4:$F$253)*$H162,"")</f>
        <v>5.1657526045266834E-2</v>
      </c>
      <c r="AP162" s="19">
        <f t="shared" si="78"/>
        <v>1.2953099611671177</v>
      </c>
      <c r="AQ162" s="19">
        <f t="shared" si="64"/>
        <v>0</v>
      </c>
      <c r="AR162" s="19">
        <f t="shared" si="79"/>
        <v>43.665180854324944</v>
      </c>
      <c r="AS162" s="23">
        <f t="shared" si="80"/>
        <v>1155.3221808543249</v>
      </c>
    </row>
    <row r="163" spans="5:45">
      <c r="E163" s="35" t="str">
        <f t="shared" si="65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1"/>
        <v>2</v>
      </c>
      <c r="I163" s="19">
        <v>2</v>
      </c>
      <c r="J163" s="36">
        <f>'Flow Rate Calculations'!$B$7</f>
        <v>4.0831050228310497</v>
      </c>
      <c r="K163" s="36">
        <f t="shared" si="66"/>
        <v>1.2996926950938155</v>
      </c>
      <c r="L163" s="37">
        <f>$I163*$K163/'Calculation Constants'!$B$7</f>
        <v>2300341.0532633904</v>
      </c>
      <c r="M163" s="37" t="str">
        <f t="shared" si="67"/>
        <v>Greater Dynamic Pressures</v>
      </c>
      <c r="N163" s="23">
        <f t="shared" si="68"/>
        <v>42.669092529275758</v>
      </c>
      <c r="O163" s="57">
        <f t="shared" si="56"/>
        <v>40.596012913760887</v>
      </c>
      <c r="P163" s="66">
        <f>MAX(I163*1000/'Calculation Constants'!$B$14,O163*10*I163*1000/2/('Calculation Constants'!$B$12*1000*'Calculation Constants'!$B$13))</f>
        <v>12.5</v>
      </c>
      <c r="Q163" s="68">
        <f t="shared" si="57"/>
        <v>1225368.3970556525</v>
      </c>
      <c r="R163" s="27">
        <f>(1/(2*LOG(3.7*$I163/'Calculation Constants'!$B$2*1000)))^2</f>
        <v>8.5984950812375404E-3</v>
      </c>
      <c r="S163" s="19">
        <f t="shared" si="69"/>
        <v>0.74029497268187827</v>
      </c>
      <c r="T163" s="19">
        <f>IF($H163&gt;0,'Calculation Constants'!$B$9*Hydraulics!$K163^2/2/9.81/MAX($F$4:$F$253)*$H163,"")</f>
        <v>5.1657526045266834E-2</v>
      </c>
      <c r="U163" s="19">
        <f t="shared" si="70"/>
        <v>0.79195249872714513</v>
      </c>
      <c r="V163" s="19">
        <f t="shared" si="58"/>
        <v>0</v>
      </c>
      <c r="W163" s="19">
        <f t="shared" si="59"/>
        <v>42.669092529275758</v>
      </c>
      <c r="X163" s="23">
        <f t="shared" si="71"/>
        <v>1165.6040925292757</v>
      </c>
      <c r="Y163" s="22">
        <f>(1/(2*LOG(3.7*$I163/'Calculation Constants'!$B$3*1000)))^2</f>
        <v>9.645396509476439E-3</v>
      </c>
      <c r="Z163" s="19">
        <f t="shared" si="60"/>
        <v>0.83042886900867496</v>
      </c>
      <c r="AA163" s="19">
        <f>IF($H163&gt;0,'Calculation Constants'!$B$9*Hydraulics!$K163^2/2/9.81/MAX($F$4:$F$253)*$H163,"")</f>
        <v>5.1657526045266834E-2</v>
      </c>
      <c r="AB163" s="19">
        <f t="shared" si="82"/>
        <v>0.88208639505394182</v>
      </c>
      <c r="AC163" s="19">
        <f t="shared" si="61"/>
        <v>0</v>
      </c>
      <c r="AD163" s="19">
        <f t="shared" si="72"/>
        <v>40.596012913760887</v>
      </c>
      <c r="AE163" s="23">
        <f t="shared" si="73"/>
        <v>1163.5310129137608</v>
      </c>
      <c r="AF163" s="27">
        <f>(1/(2*LOG(3.7*$I163/'Calculation Constants'!$B$4*1000)))^2</f>
        <v>1.1350445400368435E-2</v>
      </c>
      <c r="AG163" s="19">
        <f t="shared" si="62"/>
        <v>0.97722654815818577</v>
      </c>
      <c r="AH163" s="19">
        <f>IF($H163&gt;0,'Calculation Constants'!$B$9*Hydraulics!$K163^2/2/9.81/MAX($F$4:$F$253)*$H163,"")</f>
        <v>5.1657526045266834E-2</v>
      </c>
      <c r="AI163" s="19">
        <f t="shared" si="74"/>
        <v>1.0288840742034526</v>
      </c>
      <c r="AJ163" s="19">
        <f t="shared" si="63"/>
        <v>0</v>
      </c>
      <c r="AK163" s="19">
        <f t="shared" si="75"/>
        <v>37.219666293320415</v>
      </c>
      <c r="AL163" s="23">
        <f t="shared" si="76"/>
        <v>1160.1546662933204</v>
      </c>
      <c r="AM163" s="22">
        <f>(1/(2*LOG(3.7*($I163-0.008)/'Calculation Constants'!$B$5*1000)))^2</f>
        <v>1.4387191027645335E-2</v>
      </c>
      <c r="AN163" s="19">
        <f t="shared" si="77"/>
        <v>1.243652435121851</v>
      </c>
      <c r="AO163" s="19">
        <f>IF($H163&gt;0,'Calculation Constants'!$B$9*Hydraulics!$K163^2/2/9.81/MAX($F$4:$F$253)*$H163,"")</f>
        <v>5.1657526045266834E-2</v>
      </c>
      <c r="AP163" s="19">
        <f t="shared" si="78"/>
        <v>1.2953099611671177</v>
      </c>
      <c r="AQ163" s="19">
        <f t="shared" si="64"/>
        <v>0</v>
      </c>
      <c r="AR163" s="19">
        <f t="shared" si="79"/>
        <v>31.091870893157875</v>
      </c>
      <c r="AS163" s="23">
        <f t="shared" si="80"/>
        <v>1154.0268708931578</v>
      </c>
    </row>
    <row r="164" spans="5:45">
      <c r="E164" s="35" t="str">
        <f t="shared" si="65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1"/>
        <v>2</v>
      </c>
      <c r="I164" s="19">
        <v>2</v>
      </c>
      <c r="J164" s="36">
        <f>'Flow Rate Calculations'!$B$7</f>
        <v>4.0831050228310497</v>
      </c>
      <c r="K164" s="36">
        <f t="shared" si="66"/>
        <v>1.2996926950938155</v>
      </c>
      <c r="L164" s="37">
        <f>$I164*$K164/'Calculation Constants'!$B$7</f>
        <v>2300341.0532633904</v>
      </c>
      <c r="M164" s="37" t="str">
        <f t="shared" si="67"/>
        <v>Greater Dynamic Pressures</v>
      </c>
      <c r="N164" s="23">
        <f t="shared" si="68"/>
        <v>36.615140030548673</v>
      </c>
      <c r="O164" s="57">
        <f t="shared" si="56"/>
        <v>34.451926518707069</v>
      </c>
      <c r="P164" s="66">
        <f>MAX(I164*1000/'Calculation Constants'!$B$14,O164*10*I164*1000/2/('Calculation Constants'!$B$12*1000*'Calculation Constants'!$B$13))</f>
        <v>12.5</v>
      </c>
      <c r="Q164" s="68">
        <f t="shared" si="57"/>
        <v>1225368.3970556525</v>
      </c>
      <c r="R164" s="27">
        <f>(1/(2*LOG(3.7*$I164/'Calculation Constants'!$B$2*1000)))^2</f>
        <v>8.5984950812375404E-3</v>
      </c>
      <c r="S164" s="19">
        <f t="shared" si="69"/>
        <v>0.74029497268187827</v>
      </c>
      <c r="T164" s="19">
        <f>IF($H164&gt;0,'Calculation Constants'!$B$9*Hydraulics!$K164^2/2/9.81/MAX($F$4:$F$253)*$H164,"")</f>
        <v>5.1657526045266834E-2</v>
      </c>
      <c r="U164" s="19">
        <f t="shared" si="70"/>
        <v>0.79195249872714513</v>
      </c>
      <c r="V164" s="19">
        <f t="shared" si="58"/>
        <v>0</v>
      </c>
      <c r="W164" s="19">
        <f t="shared" si="59"/>
        <v>36.615140030548673</v>
      </c>
      <c r="X164" s="23">
        <f t="shared" si="71"/>
        <v>1164.8121400305486</v>
      </c>
      <c r="Y164" s="22">
        <f>(1/(2*LOG(3.7*$I164/'Calculation Constants'!$B$3*1000)))^2</f>
        <v>9.645396509476439E-3</v>
      </c>
      <c r="Z164" s="19">
        <f t="shared" si="60"/>
        <v>0.83042886900867496</v>
      </c>
      <c r="AA164" s="19">
        <f>IF($H164&gt;0,'Calculation Constants'!$B$9*Hydraulics!$K164^2/2/9.81/MAX($F$4:$F$253)*$H164,"")</f>
        <v>5.1657526045266834E-2</v>
      </c>
      <c r="AB164" s="19">
        <f t="shared" si="82"/>
        <v>0.88208639505394182</v>
      </c>
      <c r="AC164" s="19">
        <f t="shared" si="61"/>
        <v>0</v>
      </c>
      <c r="AD164" s="19">
        <f t="shared" si="72"/>
        <v>34.451926518707069</v>
      </c>
      <c r="AE164" s="23">
        <f t="shared" si="73"/>
        <v>1162.648926518707</v>
      </c>
      <c r="AF164" s="27">
        <f>(1/(2*LOG(3.7*$I164/'Calculation Constants'!$B$4*1000)))^2</f>
        <v>1.1350445400368435E-2</v>
      </c>
      <c r="AG164" s="19">
        <f t="shared" si="62"/>
        <v>0.97722654815818577</v>
      </c>
      <c r="AH164" s="19">
        <f>IF($H164&gt;0,'Calculation Constants'!$B$9*Hydraulics!$K164^2/2/9.81/MAX($F$4:$F$253)*$H164,"")</f>
        <v>5.1657526045266834E-2</v>
      </c>
      <c r="AI164" s="19">
        <f t="shared" si="74"/>
        <v>1.0288840742034526</v>
      </c>
      <c r="AJ164" s="19">
        <f t="shared" si="63"/>
        <v>0</v>
      </c>
      <c r="AK164" s="19">
        <f t="shared" si="75"/>
        <v>30.928782219117011</v>
      </c>
      <c r="AL164" s="23">
        <f t="shared" si="76"/>
        <v>1159.1257822191169</v>
      </c>
      <c r="AM164" s="22">
        <f>(1/(2*LOG(3.7*($I164-0.008)/'Calculation Constants'!$B$5*1000)))^2</f>
        <v>1.4387191027645335E-2</v>
      </c>
      <c r="AN164" s="19">
        <f t="shared" si="77"/>
        <v>1.243652435121851</v>
      </c>
      <c r="AO164" s="19">
        <f>IF($H164&gt;0,'Calculation Constants'!$B$9*Hydraulics!$K164^2/2/9.81/MAX($F$4:$F$253)*$H164,"")</f>
        <v>5.1657526045266834E-2</v>
      </c>
      <c r="AP164" s="19">
        <f t="shared" si="78"/>
        <v>1.2953099611671177</v>
      </c>
      <c r="AQ164" s="19">
        <f t="shared" si="64"/>
        <v>0</v>
      </c>
      <c r="AR164" s="19">
        <f t="shared" si="79"/>
        <v>24.534560931990882</v>
      </c>
      <c r="AS164" s="23">
        <f t="shared" si="80"/>
        <v>1152.7315609319908</v>
      </c>
    </row>
    <row r="165" spans="5:45">
      <c r="E165" s="35" t="str">
        <f t="shared" si="65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1"/>
        <v>2</v>
      </c>
      <c r="I165" s="19">
        <v>2</v>
      </c>
      <c r="J165" s="36">
        <f>'Flow Rate Calculations'!$B$7</f>
        <v>4.0831050228310497</v>
      </c>
      <c r="K165" s="36">
        <f t="shared" si="66"/>
        <v>1.2996926950938155</v>
      </c>
      <c r="L165" s="37">
        <f>$I165*$K165/'Calculation Constants'!$B$7</f>
        <v>2300341.0532633904</v>
      </c>
      <c r="M165" s="37" t="str">
        <f t="shared" si="67"/>
        <v>Greater Dynamic Pressures</v>
      </c>
      <c r="N165" s="23">
        <f t="shared" si="68"/>
        <v>31.459187531821499</v>
      </c>
      <c r="O165" s="57">
        <f t="shared" si="56"/>
        <v>29.205840123653161</v>
      </c>
      <c r="P165" s="66">
        <f>MAX(I165*1000/'Calculation Constants'!$B$14,O165*10*I165*1000/2/('Calculation Constants'!$B$12*1000*'Calculation Constants'!$B$13))</f>
        <v>12.5</v>
      </c>
      <c r="Q165" s="68">
        <f t="shared" si="57"/>
        <v>1225368.3970556525</v>
      </c>
      <c r="R165" s="27">
        <f>(1/(2*LOG(3.7*$I165/'Calculation Constants'!$B$2*1000)))^2</f>
        <v>8.5984950812375404E-3</v>
      </c>
      <c r="S165" s="19">
        <f t="shared" si="69"/>
        <v>0.74029497268187827</v>
      </c>
      <c r="T165" s="19">
        <f>IF($H165&gt;0,'Calculation Constants'!$B$9*Hydraulics!$K165^2/2/9.81/MAX($F$4:$F$253)*$H165,"")</f>
        <v>5.1657526045266834E-2</v>
      </c>
      <c r="U165" s="19">
        <f t="shared" si="70"/>
        <v>0.79195249872714513</v>
      </c>
      <c r="V165" s="19">
        <f t="shared" si="58"/>
        <v>0</v>
      </c>
      <c r="W165" s="19">
        <f t="shared" si="59"/>
        <v>31.459187531821499</v>
      </c>
      <c r="X165" s="23">
        <f t="shared" si="71"/>
        <v>1164.0201875318214</v>
      </c>
      <c r="Y165" s="22">
        <f>(1/(2*LOG(3.7*$I165/'Calculation Constants'!$B$3*1000)))^2</f>
        <v>9.645396509476439E-3</v>
      </c>
      <c r="Z165" s="19">
        <f t="shared" si="60"/>
        <v>0.83042886900867496</v>
      </c>
      <c r="AA165" s="19">
        <f>IF($H165&gt;0,'Calculation Constants'!$B$9*Hydraulics!$K165^2/2/9.81/MAX($F$4:$F$253)*$H165,"")</f>
        <v>5.1657526045266834E-2</v>
      </c>
      <c r="AB165" s="19">
        <f t="shared" si="82"/>
        <v>0.88208639505394182</v>
      </c>
      <c r="AC165" s="19">
        <f t="shared" si="61"/>
        <v>0</v>
      </c>
      <c r="AD165" s="19">
        <f t="shared" si="72"/>
        <v>29.205840123653161</v>
      </c>
      <c r="AE165" s="23">
        <f t="shared" si="73"/>
        <v>1161.7668401236531</v>
      </c>
      <c r="AF165" s="27">
        <f>(1/(2*LOG(3.7*$I165/'Calculation Constants'!$B$4*1000)))^2</f>
        <v>1.1350445400368435E-2</v>
      </c>
      <c r="AG165" s="19">
        <f t="shared" si="62"/>
        <v>0.97722654815818577</v>
      </c>
      <c r="AH165" s="19">
        <f>IF($H165&gt;0,'Calculation Constants'!$B$9*Hydraulics!$K165^2/2/9.81/MAX($F$4:$F$253)*$H165,"")</f>
        <v>5.1657526045266834E-2</v>
      </c>
      <c r="AI165" s="19">
        <f t="shared" si="74"/>
        <v>1.0288840742034526</v>
      </c>
      <c r="AJ165" s="19">
        <f t="shared" si="63"/>
        <v>0</v>
      </c>
      <c r="AK165" s="19">
        <f t="shared" si="75"/>
        <v>25.535898144913517</v>
      </c>
      <c r="AL165" s="23">
        <f t="shared" si="76"/>
        <v>1158.0968981449134</v>
      </c>
      <c r="AM165" s="22">
        <f>(1/(2*LOG(3.7*($I165-0.008)/'Calculation Constants'!$B$5*1000)))^2</f>
        <v>1.4387191027645335E-2</v>
      </c>
      <c r="AN165" s="19">
        <f t="shared" si="77"/>
        <v>1.243652435121851</v>
      </c>
      <c r="AO165" s="19">
        <f>IF($H165&gt;0,'Calculation Constants'!$B$9*Hydraulics!$K165^2/2/9.81/MAX($F$4:$F$253)*$H165,"")</f>
        <v>5.1657526045266834E-2</v>
      </c>
      <c r="AP165" s="19">
        <f t="shared" si="78"/>
        <v>1.2953099611671177</v>
      </c>
      <c r="AQ165" s="19">
        <f t="shared" si="64"/>
        <v>0</v>
      </c>
      <c r="AR165" s="19">
        <f t="shared" si="79"/>
        <v>18.875250970823799</v>
      </c>
      <c r="AS165" s="23">
        <f t="shared" si="80"/>
        <v>1151.4362509708237</v>
      </c>
    </row>
    <row r="166" spans="5:45">
      <c r="E166" s="35" t="str">
        <f t="shared" si="65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1"/>
        <v>2</v>
      </c>
      <c r="I166" s="19">
        <v>2</v>
      </c>
      <c r="J166" s="36">
        <f>'Flow Rate Calculations'!$B$7</f>
        <v>4.0831050228310497</v>
      </c>
      <c r="K166" s="36">
        <f t="shared" si="66"/>
        <v>1.2996926950938155</v>
      </c>
      <c r="L166" s="37">
        <f>$I166*$K166/'Calculation Constants'!$B$7</f>
        <v>2300341.0532633904</v>
      </c>
      <c r="M166" s="37" t="str">
        <f t="shared" si="67"/>
        <v>Greater Dynamic Pressures</v>
      </c>
      <c r="N166" s="23">
        <f t="shared" si="68"/>
        <v>31.374235033094237</v>
      </c>
      <c r="O166" s="57">
        <f t="shared" si="56"/>
        <v>29.030753728599166</v>
      </c>
      <c r="P166" s="66">
        <f>MAX(I166*1000/'Calculation Constants'!$B$14,O166*10*I166*1000/2/('Calculation Constants'!$B$12*1000*'Calculation Constants'!$B$13))</f>
        <v>12.5</v>
      </c>
      <c r="Q166" s="68">
        <f t="shared" si="57"/>
        <v>1225368.3970556525</v>
      </c>
      <c r="R166" s="27">
        <f>(1/(2*LOG(3.7*$I166/'Calculation Constants'!$B$2*1000)))^2</f>
        <v>8.5984950812375404E-3</v>
      </c>
      <c r="S166" s="19">
        <f t="shared" si="69"/>
        <v>0.74029497268187827</v>
      </c>
      <c r="T166" s="19">
        <f>IF($H166&gt;0,'Calculation Constants'!$B$9*Hydraulics!$K166^2/2/9.81/MAX($F$4:$F$253)*$H166,"")</f>
        <v>5.1657526045266834E-2</v>
      </c>
      <c r="U166" s="19">
        <f t="shared" si="70"/>
        <v>0.79195249872714513</v>
      </c>
      <c r="V166" s="19">
        <f t="shared" si="58"/>
        <v>0</v>
      </c>
      <c r="W166" s="19">
        <f t="shared" si="59"/>
        <v>31.374235033094237</v>
      </c>
      <c r="X166" s="23">
        <f t="shared" si="71"/>
        <v>1163.2282350330943</v>
      </c>
      <c r="Y166" s="22">
        <f>(1/(2*LOG(3.7*$I166/'Calculation Constants'!$B$3*1000)))^2</f>
        <v>9.645396509476439E-3</v>
      </c>
      <c r="Z166" s="19">
        <f t="shared" si="60"/>
        <v>0.83042886900867496</v>
      </c>
      <c r="AA166" s="19">
        <f>IF($H166&gt;0,'Calculation Constants'!$B$9*Hydraulics!$K166^2/2/9.81/MAX($F$4:$F$253)*$H166,"")</f>
        <v>5.1657526045266834E-2</v>
      </c>
      <c r="AB166" s="19">
        <f t="shared" si="82"/>
        <v>0.88208639505394182</v>
      </c>
      <c r="AC166" s="19">
        <f t="shared" si="61"/>
        <v>0</v>
      </c>
      <c r="AD166" s="19">
        <f t="shared" si="72"/>
        <v>29.030753728599166</v>
      </c>
      <c r="AE166" s="23">
        <f t="shared" si="73"/>
        <v>1160.8847537285992</v>
      </c>
      <c r="AF166" s="27">
        <f>(1/(2*LOG(3.7*$I166/'Calculation Constants'!$B$4*1000)))^2</f>
        <v>1.1350445400368435E-2</v>
      </c>
      <c r="AG166" s="19">
        <f t="shared" si="62"/>
        <v>0.97722654815818577</v>
      </c>
      <c r="AH166" s="19">
        <f>IF($H166&gt;0,'Calculation Constants'!$B$9*Hydraulics!$K166^2/2/9.81/MAX($F$4:$F$253)*$H166,"")</f>
        <v>5.1657526045266834E-2</v>
      </c>
      <c r="AI166" s="19">
        <f t="shared" si="74"/>
        <v>1.0288840742034526</v>
      </c>
      <c r="AJ166" s="19">
        <f t="shared" si="63"/>
        <v>0</v>
      </c>
      <c r="AK166" s="19">
        <f t="shared" si="75"/>
        <v>25.214014070709936</v>
      </c>
      <c r="AL166" s="23">
        <f t="shared" si="76"/>
        <v>1157.06801407071</v>
      </c>
      <c r="AM166" s="22">
        <f>(1/(2*LOG(3.7*($I166-0.008)/'Calculation Constants'!$B$5*1000)))^2</f>
        <v>1.4387191027645335E-2</v>
      </c>
      <c r="AN166" s="19">
        <f t="shared" si="77"/>
        <v>1.243652435121851</v>
      </c>
      <c r="AO166" s="19">
        <f>IF($H166&gt;0,'Calculation Constants'!$B$9*Hydraulics!$K166^2/2/9.81/MAX($F$4:$F$253)*$H166,"")</f>
        <v>5.1657526045266834E-2</v>
      </c>
      <c r="AP166" s="19">
        <f t="shared" si="78"/>
        <v>1.2953099611671177</v>
      </c>
      <c r="AQ166" s="19">
        <f t="shared" si="64"/>
        <v>0</v>
      </c>
      <c r="AR166" s="19">
        <f t="shared" si="79"/>
        <v>18.28694100965663</v>
      </c>
      <c r="AS166" s="23">
        <f t="shared" si="80"/>
        <v>1150.1409410096567</v>
      </c>
    </row>
    <row r="167" spans="5:45">
      <c r="E167" s="35" t="str">
        <f t="shared" si="65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1"/>
        <v>2</v>
      </c>
      <c r="I167" s="19">
        <v>2</v>
      </c>
      <c r="J167" s="36">
        <f>'Flow Rate Calculations'!$B$7</f>
        <v>4.0831050228310497</v>
      </c>
      <c r="K167" s="36">
        <f t="shared" si="66"/>
        <v>1.2996926950938155</v>
      </c>
      <c r="L167" s="37">
        <f>$I167*$K167/'Calculation Constants'!$B$7</f>
        <v>2300341.0532633904</v>
      </c>
      <c r="M167" s="37" t="str">
        <f t="shared" si="67"/>
        <v>Greater Dynamic Pressures</v>
      </c>
      <c r="N167" s="23">
        <f t="shared" si="68"/>
        <v>29.098282534367172</v>
      </c>
      <c r="O167" s="57">
        <f t="shared" si="56"/>
        <v>26.664667333545367</v>
      </c>
      <c r="P167" s="66">
        <f>MAX(I167*1000/'Calculation Constants'!$B$14,O167*10*I167*1000/2/('Calculation Constants'!$B$12*1000*'Calculation Constants'!$B$13))</f>
        <v>12.5</v>
      </c>
      <c r="Q167" s="68">
        <f t="shared" si="57"/>
        <v>1225368.3970556525</v>
      </c>
      <c r="R167" s="27">
        <f>(1/(2*LOG(3.7*$I167/'Calculation Constants'!$B$2*1000)))^2</f>
        <v>8.5984950812375404E-3</v>
      </c>
      <c r="S167" s="19">
        <f t="shared" si="69"/>
        <v>0.74029497268187827</v>
      </c>
      <c r="T167" s="19">
        <f>IF($H167&gt;0,'Calculation Constants'!$B$9*Hydraulics!$K167^2/2/9.81/MAX($F$4:$F$253)*$H167,"")</f>
        <v>5.1657526045266834E-2</v>
      </c>
      <c r="U167" s="19">
        <f t="shared" si="70"/>
        <v>0.79195249872714513</v>
      </c>
      <c r="V167" s="19">
        <f t="shared" si="58"/>
        <v>0</v>
      </c>
      <c r="W167" s="19">
        <f t="shared" si="59"/>
        <v>29.098282534367172</v>
      </c>
      <c r="X167" s="23">
        <f t="shared" si="71"/>
        <v>1162.4362825343671</v>
      </c>
      <c r="Y167" s="22">
        <f>(1/(2*LOG(3.7*$I167/'Calculation Constants'!$B$3*1000)))^2</f>
        <v>9.645396509476439E-3</v>
      </c>
      <c r="Z167" s="19">
        <f t="shared" si="60"/>
        <v>0.83042886900867496</v>
      </c>
      <c r="AA167" s="19">
        <f>IF($H167&gt;0,'Calculation Constants'!$B$9*Hydraulics!$K167^2/2/9.81/MAX($F$4:$F$253)*$H167,"")</f>
        <v>5.1657526045266834E-2</v>
      </c>
      <c r="AB167" s="19">
        <f t="shared" si="82"/>
        <v>0.88208639505394182</v>
      </c>
      <c r="AC167" s="19">
        <f t="shared" si="61"/>
        <v>0</v>
      </c>
      <c r="AD167" s="19">
        <f t="shared" si="72"/>
        <v>26.664667333545367</v>
      </c>
      <c r="AE167" s="23">
        <f t="shared" si="73"/>
        <v>1160.0026673335453</v>
      </c>
      <c r="AF167" s="27">
        <f>(1/(2*LOG(3.7*$I167/'Calculation Constants'!$B$4*1000)))^2</f>
        <v>1.1350445400368435E-2</v>
      </c>
      <c r="AG167" s="19">
        <f t="shared" si="62"/>
        <v>0.97722654815818577</v>
      </c>
      <c r="AH167" s="19">
        <f>IF($H167&gt;0,'Calculation Constants'!$B$9*Hydraulics!$K167^2/2/9.81/MAX($F$4:$F$253)*$H167,"")</f>
        <v>5.1657526045266834E-2</v>
      </c>
      <c r="AI167" s="19">
        <f t="shared" si="74"/>
        <v>1.0288840742034526</v>
      </c>
      <c r="AJ167" s="19">
        <f t="shared" si="63"/>
        <v>0</v>
      </c>
      <c r="AK167" s="19">
        <f t="shared" si="75"/>
        <v>22.701129996506552</v>
      </c>
      <c r="AL167" s="23">
        <f t="shared" si="76"/>
        <v>1156.0391299965065</v>
      </c>
      <c r="AM167" s="22">
        <f>(1/(2*LOG(3.7*($I167-0.008)/'Calculation Constants'!$B$5*1000)))^2</f>
        <v>1.4387191027645335E-2</v>
      </c>
      <c r="AN167" s="19">
        <f t="shared" si="77"/>
        <v>1.243652435121851</v>
      </c>
      <c r="AO167" s="19">
        <f>IF($H167&gt;0,'Calculation Constants'!$B$9*Hydraulics!$K167^2/2/9.81/MAX($F$4:$F$253)*$H167,"")</f>
        <v>5.1657526045266834E-2</v>
      </c>
      <c r="AP167" s="19">
        <f t="shared" si="78"/>
        <v>1.2953099611671177</v>
      </c>
      <c r="AQ167" s="19">
        <f t="shared" si="64"/>
        <v>0</v>
      </c>
      <c r="AR167" s="19">
        <f t="shared" si="79"/>
        <v>15.507631048489657</v>
      </c>
      <c r="AS167" s="23">
        <f t="shared" si="80"/>
        <v>1148.8456310484896</v>
      </c>
    </row>
    <row r="168" spans="5:45">
      <c r="E168" s="35" t="str">
        <f t="shared" si="65"/>
        <v>Reservoir</v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1"/>
        <v>2</v>
      </c>
      <c r="I168" s="19">
        <v>1.8</v>
      </c>
      <c r="J168" s="36">
        <f>'Flow Rate Calculations'!$B$7</f>
        <v>4.0831050228310497</v>
      </c>
      <c r="K168" s="36">
        <f t="shared" si="66"/>
        <v>1.6045588828318709</v>
      </c>
      <c r="L168" s="37">
        <f>$I168*$K168/'Calculation Constants'!$B$7</f>
        <v>2555934.503625989</v>
      </c>
      <c r="M168" s="37">
        <f t="shared" si="67"/>
        <v>10</v>
      </c>
      <c r="N168" s="23">
        <f t="shared" si="68"/>
        <v>10</v>
      </c>
      <c r="O168" s="57">
        <f t="shared" si="56"/>
        <v>10</v>
      </c>
      <c r="P168" s="66">
        <f>MAX(I168*1000/'Calculation Constants'!$B$14,O168*10*I168*1000/2/('Calculation Constants'!$B$12*1000*'Calculation Constants'!$B$13))</f>
        <v>11.25</v>
      </c>
      <c r="Q168" s="68">
        <f t="shared" si="57"/>
        <v>992548.40161508287</v>
      </c>
      <c r="R168" s="27">
        <f>(1/(2*LOG(3.7*$I168/'Calculation Constants'!$B$2*1000)))^2</f>
        <v>8.7463077071963571E-3</v>
      </c>
      <c r="S168" s="19">
        <f t="shared" si="69"/>
        <v>1.2752477269849725</v>
      </c>
      <c r="T168" s="19">
        <f>IF($H168&gt;0,'Calculation Constants'!$B$9*Hydraulics!$K168^2/2/9.81/MAX($F$4:$F$253)*$H168,"")</f>
        <v>7.8734226558858159E-2</v>
      </c>
      <c r="U168" s="19">
        <f t="shared" si="70"/>
        <v>1.3539819535438307</v>
      </c>
      <c r="V168" s="19">
        <f t="shared" si="58"/>
        <v>0</v>
      </c>
      <c r="W168" s="19">
        <f t="shared" si="59"/>
        <v>10</v>
      </c>
      <c r="X168" s="23">
        <f t="shared" si="71"/>
        <v>1146.405</v>
      </c>
      <c r="Y168" s="22">
        <f>(1/(2*LOG(3.7*$I168/'Calculation Constants'!$B$3*1000)))^2</f>
        <v>9.8211436332891755E-3</v>
      </c>
      <c r="Z168" s="19">
        <f t="shared" si="60"/>
        <v>1.431963236834217</v>
      </c>
      <c r="AA168" s="19">
        <f>IF($H168&gt;0,'Calculation Constants'!$B$9*Hydraulics!$K168^2/2/9.81/MAX($F$4:$F$253)*$H168,"")</f>
        <v>7.8734226558858159E-2</v>
      </c>
      <c r="AB168" s="19">
        <f t="shared" si="82"/>
        <v>1.5106974633930752</v>
      </c>
      <c r="AC168" s="19">
        <f t="shared" si="61"/>
        <v>0</v>
      </c>
      <c r="AD168" s="19">
        <f t="shared" si="72"/>
        <v>10</v>
      </c>
      <c r="AE168" s="23">
        <f t="shared" si="73"/>
        <v>1146.405</v>
      </c>
      <c r="AF168" s="27">
        <f>(1/(2*LOG(3.7*$I168/'Calculation Constants'!$B$4*1000)))^2</f>
        <v>1.1575055557914658E-2</v>
      </c>
      <c r="AG168" s="19">
        <f t="shared" si="62"/>
        <v>1.6876908272744866</v>
      </c>
      <c r="AH168" s="19">
        <f>IF($H168&gt;0,'Calculation Constants'!$B$9*Hydraulics!$K168^2/2/9.81/MAX($F$4:$F$253)*$H168,"")</f>
        <v>7.8734226558858159E-2</v>
      </c>
      <c r="AI168" s="19">
        <f t="shared" si="74"/>
        <v>1.7664250538333448</v>
      </c>
      <c r="AJ168" s="19">
        <f t="shared" si="63"/>
        <v>0</v>
      </c>
      <c r="AK168" s="19">
        <f t="shared" si="75"/>
        <v>10</v>
      </c>
      <c r="AL168" s="23">
        <f t="shared" si="76"/>
        <v>1146.405</v>
      </c>
      <c r="AM168" s="22">
        <f>(1/(2*LOG(3.7*($I168-0.008)/'Calculation Constants'!$B$5*1000)))^2</f>
        <v>1.4709705891825043E-2</v>
      </c>
      <c r="AN168" s="19">
        <f t="shared" si="77"/>
        <v>2.1543104841910781</v>
      </c>
      <c r="AO168" s="19">
        <f>IF($H168&gt;0,'Calculation Constants'!$B$9*Hydraulics!$K168^2/2/9.81/MAX($F$4:$F$253)*$H168,"")</f>
        <v>7.8734226558858159E-2</v>
      </c>
      <c r="AP168" s="19">
        <f t="shared" si="78"/>
        <v>2.2330447107499363</v>
      </c>
      <c r="AQ168" s="19">
        <f t="shared" si="64"/>
        <v>0</v>
      </c>
      <c r="AR168" s="19">
        <f t="shared" si="79"/>
        <v>10</v>
      </c>
      <c r="AS168" s="23">
        <f t="shared" si="80"/>
        <v>1146.405</v>
      </c>
    </row>
    <row r="169" spans="5:45">
      <c r="E169" s="35" t="str">
        <f t="shared" si="65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1"/>
        <v>2</v>
      </c>
      <c r="I169" s="19">
        <v>1.8</v>
      </c>
      <c r="J169" s="36">
        <f>'Flow Rate Calculations'!$B$7</f>
        <v>4.0831050228310497</v>
      </c>
      <c r="K169" s="36">
        <f t="shared" si="66"/>
        <v>1.6045588828318709</v>
      </c>
      <c r="L169" s="37">
        <f>$I169*$K169/'Calculation Constants'!$B$7</f>
        <v>2555934.503625989</v>
      </c>
      <c r="M169" s="37">
        <f t="shared" si="67"/>
        <v>17.695999999999913</v>
      </c>
      <c r="N169" s="23">
        <f t="shared" si="68"/>
        <v>16.342018046456133</v>
      </c>
      <c r="O169" s="57">
        <f t="shared" si="56"/>
        <v>17.695999999999913</v>
      </c>
      <c r="P169" s="66">
        <f>MAX(I169*1000/'Calculation Constants'!$B$14,O169*10*I169*1000/2/('Calculation Constants'!$B$12*1000*'Calculation Constants'!$B$13))</f>
        <v>11.25</v>
      </c>
      <c r="Q169" s="68">
        <f t="shared" si="57"/>
        <v>992548.40161508287</v>
      </c>
      <c r="R169" s="27">
        <f>(1/(2*LOG(3.7*$I169/'Calculation Constants'!$B$2*1000)))^2</f>
        <v>8.7463077071963571E-3</v>
      </c>
      <c r="S169" s="19">
        <f t="shared" si="69"/>
        <v>1.2752477269849725</v>
      </c>
      <c r="T169" s="19">
        <f>IF($H169&gt;0,'Calculation Constants'!$B$9*Hydraulics!$K169^2/2/9.81/MAX($F$4:$F$253)*$H169,"")</f>
        <v>7.8734226558858159E-2</v>
      </c>
      <c r="U169" s="19">
        <f t="shared" si="70"/>
        <v>1.3539819535438307</v>
      </c>
      <c r="V169" s="19">
        <f t="shared" si="58"/>
        <v>0</v>
      </c>
      <c r="W169" s="19">
        <f t="shared" si="59"/>
        <v>16.342018046456133</v>
      </c>
      <c r="X169" s="23">
        <f t="shared" si="71"/>
        <v>1145.0510180464562</v>
      </c>
      <c r="Y169" s="22">
        <f>(1/(2*LOG(3.7*$I169/'Calculation Constants'!$B$3*1000)))^2</f>
        <v>9.8211436332891755E-3</v>
      </c>
      <c r="Z169" s="19">
        <f t="shared" si="60"/>
        <v>1.431963236834217</v>
      </c>
      <c r="AA169" s="19">
        <f>IF($H169&gt;0,'Calculation Constants'!$B$9*Hydraulics!$K169^2/2/9.81/MAX($F$4:$F$253)*$H169,"")</f>
        <v>7.8734226558858159E-2</v>
      </c>
      <c r="AB169" s="19">
        <f t="shared" si="82"/>
        <v>1.5106974633930752</v>
      </c>
      <c r="AC169" s="19">
        <f t="shared" si="61"/>
        <v>0</v>
      </c>
      <c r="AD169" s="19">
        <f t="shared" si="72"/>
        <v>16.185302536606741</v>
      </c>
      <c r="AE169" s="23">
        <f t="shared" si="73"/>
        <v>1144.8943025366068</v>
      </c>
      <c r="AF169" s="27">
        <f>(1/(2*LOG(3.7*$I169/'Calculation Constants'!$B$4*1000)))^2</f>
        <v>1.1575055557914658E-2</v>
      </c>
      <c r="AG169" s="19">
        <f t="shared" si="62"/>
        <v>1.6876908272744866</v>
      </c>
      <c r="AH169" s="19">
        <f>IF($H169&gt;0,'Calculation Constants'!$B$9*Hydraulics!$K169^2/2/9.81/MAX($F$4:$F$253)*$H169,"")</f>
        <v>7.8734226558858159E-2</v>
      </c>
      <c r="AI169" s="19">
        <f t="shared" si="74"/>
        <v>1.7664250538333448</v>
      </c>
      <c r="AJ169" s="19">
        <f t="shared" si="63"/>
        <v>0</v>
      </c>
      <c r="AK169" s="19">
        <f t="shared" si="75"/>
        <v>15.929574946166667</v>
      </c>
      <c r="AL169" s="23">
        <f t="shared" si="76"/>
        <v>1144.6385749461667</v>
      </c>
      <c r="AM169" s="22">
        <f>(1/(2*LOG(3.7*($I169-0.008)/'Calculation Constants'!$B$5*1000)))^2</f>
        <v>1.4709705891825043E-2</v>
      </c>
      <c r="AN169" s="19">
        <f t="shared" si="77"/>
        <v>2.1543104841910781</v>
      </c>
      <c r="AO169" s="19">
        <f>IF($H169&gt;0,'Calculation Constants'!$B$9*Hydraulics!$K169^2/2/9.81/MAX($F$4:$F$253)*$H169,"")</f>
        <v>7.8734226558858159E-2</v>
      </c>
      <c r="AP169" s="19">
        <f t="shared" si="78"/>
        <v>2.2330447107499363</v>
      </c>
      <c r="AQ169" s="19">
        <f t="shared" si="64"/>
        <v>0</v>
      </c>
      <c r="AR169" s="19">
        <f t="shared" si="79"/>
        <v>15.462955289249976</v>
      </c>
      <c r="AS169" s="23">
        <f t="shared" si="80"/>
        <v>1144.17195528925</v>
      </c>
    </row>
    <row r="170" spans="5:45">
      <c r="E170" s="35" t="str">
        <f t="shared" si="65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1"/>
        <v>2</v>
      </c>
      <c r="I170" s="19">
        <v>1.8</v>
      </c>
      <c r="J170" s="36">
        <f>'Flow Rate Calculations'!$B$7</f>
        <v>4.0831050228310497</v>
      </c>
      <c r="K170" s="36">
        <f t="shared" si="66"/>
        <v>1.6045588828318709</v>
      </c>
      <c r="L170" s="37">
        <f>$I170*$K170/'Calculation Constants'!$B$7</f>
        <v>2555934.503625989</v>
      </c>
      <c r="M170" s="37">
        <f t="shared" si="67"/>
        <v>25.692000000000007</v>
      </c>
      <c r="N170" s="23">
        <f t="shared" si="68"/>
        <v>22.984036092912447</v>
      </c>
      <c r="O170" s="57">
        <f t="shared" si="56"/>
        <v>25.692000000000007</v>
      </c>
      <c r="P170" s="66">
        <f>MAX(I170*1000/'Calculation Constants'!$B$14,O170*10*I170*1000/2/('Calculation Constants'!$B$12*1000*'Calculation Constants'!$B$13))</f>
        <v>11.25</v>
      </c>
      <c r="Q170" s="68">
        <f t="shared" si="57"/>
        <v>992548.40161508287</v>
      </c>
      <c r="R170" s="27">
        <f>(1/(2*LOG(3.7*$I170/'Calculation Constants'!$B$2*1000)))^2</f>
        <v>8.7463077071963571E-3</v>
      </c>
      <c r="S170" s="19">
        <f t="shared" si="69"/>
        <v>1.2752477269849725</v>
      </c>
      <c r="T170" s="19">
        <f>IF($H170&gt;0,'Calculation Constants'!$B$9*Hydraulics!$K170^2/2/9.81/MAX($F$4:$F$253)*$H170,"")</f>
        <v>7.8734226558858159E-2</v>
      </c>
      <c r="U170" s="19">
        <f t="shared" si="70"/>
        <v>1.3539819535438307</v>
      </c>
      <c r="V170" s="19">
        <f t="shared" si="58"/>
        <v>0</v>
      </c>
      <c r="W170" s="19">
        <f t="shared" si="59"/>
        <v>22.984036092912447</v>
      </c>
      <c r="X170" s="23">
        <f t="shared" si="71"/>
        <v>1143.6970360929124</v>
      </c>
      <c r="Y170" s="22">
        <f>(1/(2*LOG(3.7*$I170/'Calculation Constants'!$B$3*1000)))^2</f>
        <v>9.8211436332891755E-3</v>
      </c>
      <c r="Z170" s="19">
        <f t="shared" si="60"/>
        <v>1.431963236834217</v>
      </c>
      <c r="AA170" s="19">
        <f>IF($H170&gt;0,'Calculation Constants'!$B$9*Hydraulics!$K170^2/2/9.81/MAX($F$4:$F$253)*$H170,"")</f>
        <v>7.8734226558858159E-2</v>
      </c>
      <c r="AB170" s="19">
        <f t="shared" si="82"/>
        <v>1.5106974633930752</v>
      </c>
      <c r="AC170" s="19">
        <f t="shared" si="61"/>
        <v>0</v>
      </c>
      <c r="AD170" s="19">
        <f t="shared" si="72"/>
        <v>22.670605073213665</v>
      </c>
      <c r="AE170" s="23">
        <f t="shared" si="73"/>
        <v>1143.3836050732136</v>
      </c>
      <c r="AF170" s="27">
        <f>(1/(2*LOG(3.7*$I170/'Calculation Constants'!$B$4*1000)))^2</f>
        <v>1.1575055557914658E-2</v>
      </c>
      <c r="AG170" s="19">
        <f t="shared" si="62"/>
        <v>1.6876908272744866</v>
      </c>
      <c r="AH170" s="19">
        <f>IF($H170&gt;0,'Calculation Constants'!$B$9*Hydraulics!$K170^2/2/9.81/MAX($F$4:$F$253)*$H170,"")</f>
        <v>7.8734226558858159E-2</v>
      </c>
      <c r="AI170" s="19">
        <f t="shared" si="74"/>
        <v>1.7664250538333448</v>
      </c>
      <c r="AJ170" s="19">
        <f t="shared" si="63"/>
        <v>0</v>
      </c>
      <c r="AK170" s="19">
        <f t="shared" si="75"/>
        <v>22.159149892333517</v>
      </c>
      <c r="AL170" s="23">
        <f t="shared" si="76"/>
        <v>1142.8721498923335</v>
      </c>
      <c r="AM170" s="22">
        <f>(1/(2*LOG(3.7*($I170-0.008)/'Calculation Constants'!$B$5*1000)))^2</f>
        <v>1.4709705891825043E-2</v>
      </c>
      <c r="AN170" s="19">
        <f t="shared" si="77"/>
        <v>2.1543104841910781</v>
      </c>
      <c r="AO170" s="19">
        <f>IF($H170&gt;0,'Calculation Constants'!$B$9*Hydraulics!$K170^2/2/9.81/MAX($F$4:$F$253)*$H170,"")</f>
        <v>7.8734226558858159E-2</v>
      </c>
      <c r="AP170" s="19">
        <f t="shared" si="78"/>
        <v>2.2330447107499363</v>
      </c>
      <c r="AQ170" s="19">
        <f t="shared" si="64"/>
        <v>0</v>
      </c>
      <c r="AR170" s="19">
        <f t="shared" si="79"/>
        <v>21.225910578500134</v>
      </c>
      <c r="AS170" s="23">
        <f t="shared" si="80"/>
        <v>1141.9389105785001</v>
      </c>
    </row>
    <row r="171" spans="5:45">
      <c r="E171" s="35" t="str">
        <f t="shared" si="65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1"/>
        <v>2</v>
      </c>
      <c r="I171" s="19">
        <v>1.8</v>
      </c>
      <c r="J171" s="36">
        <f>'Flow Rate Calculations'!$B$7</f>
        <v>4.0831050228310497</v>
      </c>
      <c r="K171" s="36">
        <f t="shared" si="66"/>
        <v>1.6045588828318709</v>
      </c>
      <c r="L171" s="37">
        <f>$I171*$K171/'Calculation Constants'!$B$7</f>
        <v>2555934.503625989</v>
      </c>
      <c r="M171" s="37">
        <f t="shared" si="67"/>
        <v>31.17899999999986</v>
      </c>
      <c r="N171" s="23">
        <f t="shared" si="68"/>
        <v>27.11705413936852</v>
      </c>
      <c r="O171" s="57">
        <f t="shared" si="56"/>
        <v>31.17899999999986</v>
      </c>
      <c r="P171" s="66">
        <f>MAX(I171*1000/'Calculation Constants'!$B$14,O171*10*I171*1000/2/('Calculation Constants'!$B$12*1000*'Calculation Constants'!$B$13))</f>
        <v>11.25</v>
      </c>
      <c r="Q171" s="68">
        <f t="shared" si="57"/>
        <v>992548.40161508287</v>
      </c>
      <c r="R171" s="27">
        <f>(1/(2*LOG(3.7*$I171/'Calculation Constants'!$B$2*1000)))^2</f>
        <v>8.7463077071963571E-3</v>
      </c>
      <c r="S171" s="19">
        <f t="shared" si="69"/>
        <v>1.2752477269849725</v>
      </c>
      <c r="T171" s="19">
        <f>IF($H171&gt;0,'Calculation Constants'!$B$9*Hydraulics!$K171^2/2/9.81/MAX($F$4:$F$253)*$H171,"")</f>
        <v>7.8734226558858159E-2</v>
      </c>
      <c r="U171" s="19">
        <f t="shared" si="70"/>
        <v>1.3539819535438307</v>
      </c>
      <c r="V171" s="19">
        <f t="shared" si="58"/>
        <v>0</v>
      </c>
      <c r="W171" s="19">
        <f t="shared" si="59"/>
        <v>27.11705413936852</v>
      </c>
      <c r="X171" s="23">
        <f t="shared" si="71"/>
        <v>1142.3430541393686</v>
      </c>
      <c r="Y171" s="22">
        <f>(1/(2*LOG(3.7*$I171/'Calculation Constants'!$B$3*1000)))^2</f>
        <v>9.8211436332891755E-3</v>
      </c>
      <c r="Z171" s="19">
        <f t="shared" si="60"/>
        <v>1.431963236834217</v>
      </c>
      <c r="AA171" s="19">
        <f>IF($H171&gt;0,'Calculation Constants'!$B$9*Hydraulics!$K171^2/2/9.81/MAX($F$4:$F$253)*$H171,"")</f>
        <v>7.8734226558858159E-2</v>
      </c>
      <c r="AB171" s="19">
        <f t="shared" si="82"/>
        <v>1.5106974633930752</v>
      </c>
      <c r="AC171" s="19">
        <f t="shared" si="61"/>
        <v>0</v>
      </c>
      <c r="AD171" s="19">
        <f t="shared" si="72"/>
        <v>26.646907609820346</v>
      </c>
      <c r="AE171" s="23">
        <f t="shared" si="73"/>
        <v>1141.8729076098205</v>
      </c>
      <c r="AF171" s="27">
        <f>(1/(2*LOG(3.7*$I171/'Calculation Constants'!$B$4*1000)))^2</f>
        <v>1.1575055557914658E-2</v>
      </c>
      <c r="AG171" s="19">
        <f t="shared" si="62"/>
        <v>1.6876908272744866</v>
      </c>
      <c r="AH171" s="19">
        <f>IF($H171&gt;0,'Calculation Constants'!$B$9*Hydraulics!$K171^2/2/9.81/MAX($F$4:$F$253)*$H171,"")</f>
        <v>7.8734226558858159E-2</v>
      </c>
      <c r="AI171" s="19">
        <f t="shared" si="74"/>
        <v>1.7664250538333448</v>
      </c>
      <c r="AJ171" s="19">
        <f t="shared" si="63"/>
        <v>0</v>
      </c>
      <c r="AK171" s="19">
        <f t="shared" si="75"/>
        <v>25.879724838500124</v>
      </c>
      <c r="AL171" s="23">
        <f t="shared" si="76"/>
        <v>1141.1057248385002</v>
      </c>
      <c r="AM171" s="22">
        <f>(1/(2*LOG(3.7*($I171-0.008)/'Calculation Constants'!$B$5*1000)))^2</f>
        <v>1.4709705891825043E-2</v>
      </c>
      <c r="AN171" s="19">
        <f t="shared" si="77"/>
        <v>2.1543104841910781</v>
      </c>
      <c r="AO171" s="19">
        <f>IF($H171&gt;0,'Calculation Constants'!$B$9*Hydraulics!$K171^2/2/9.81/MAX($F$4:$F$253)*$H171,"")</f>
        <v>7.8734226558858159E-2</v>
      </c>
      <c r="AP171" s="19">
        <f t="shared" si="78"/>
        <v>2.2330447107499363</v>
      </c>
      <c r="AQ171" s="19">
        <f t="shared" si="64"/>
        <v>0</v>
      </c>
      <c r="AR171" s="19">
        <f t="shared" si="79"/>
        <v>24.47986586775005</v>
      </c>
      <c r="AS171" s="23">
        <f t="shared" si="80"/>
        <v>1139.7058658677502</v>
      </c>
    </row>
    <row r="172" spans="5:45">
      <c r="E172" s="35" t="str">
        <f t="shared" si="65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1"/>
        <v>2</v>
      </c>
      <c r="I172" s="19">
        <v>1.8</v>
      </c>
      <c r="J172" s="36">
        <f>'Flow Rate Calculations'!$B$7</f>
        <v>4.0831050228310497</v>
      </c>
      <c r="K172" s="36">
        <f t="shared" si="66"/>
        <v>1.6045588828318709</v>
      </c>
      <c r="L172" s="37">
        <f>$I172*$K172/'Calculation Constants'!$B$7</f>
        <v>2555934.503625989</v>
      </c>
      <c r="M172" s="37">
        <f t="shared" si="67"/>
        <v>37.695999999999913</v>
      </c>
      <c r="N172" s="23">
        <f t="shared" si="68"/>
        <v>32.280072185824793</v>
      </c>
      <c r="O172" s="57">
        <f t="shared" si="56"/>
        <v>37.695999999999913</v>
      </c>
      <c r="P172" s="66">
        <f>MAX(I172*1000/'Calculation Constants'!$B$14,O172*10*I172*1000/2/('Calculation Constants'!$B$12*1000*'Calculation Constants'!$B$13))</f>
        <v>11.25</v>
      </c>
      <c r="Q172" s="68">
        <f t="shared" si="57"/>
        <v>992548.40161508287</v>
      </c>
      <c r="R172" s="27">
        <f>(1/(2*LOG(3.7*$I172/'Calculation Constants'!$B$2*1000)))^2</f>
        <v>8.7463077071963571E-3</v>
      </c>
      <c r="S172" s="19">
        <f t="shared" si="69"/>
        <v>1.2752477269849725</v>
      </c>
      <c r="T172" s="19">
        <f>IF($H172&gt;0,'Calculation Constants'!$B$9*Hydraulics!$K172^2/2/9.81/MAX($F$4:$F$253)*$H172,"")</f>
        <v>7.8734226558858159E-2</v>
      </c>
      <c r="U172" s="19">
        <f t="shared" si="70"/>
        <v>1.3539819535438307</v>
      </c>
      <c r="V172" s="19">
        <f t="shared" si="58"/>
        <v>0</v>
      </c>
      <c r="W172" s="19">
        <f t="shared" si="59"/>
        <v>32.280072185824793</v>
      </c>
      <c r="X172" s="23">
        <f t="shared" si="71"/>
        <v>1140.9890721858249</v>
      </c>
      <c r="Y172" s="22">
        <f>(1/(2*LOG(3.7*$I172/'Calculation Constants'!$B$3*1000)))^2</f>
        <v>9.8211436332891755E-3</v>
      </c>
      <c r="Z172" s="19">
        <f t="shared" si="60"/>
        <v>1.431963236834217</v>
      </c>
      <c r="AA172" s="19">
        <f>IF($H172&gt;0,'Calculation Constants'!$B$9*Hydraulics!$K172^2/2/9.81/MAX($F$4:$F$253)*$H172,"")</f>
        <v>7.8734226558858159E-2</v>
      </c>
      <c r="AB172" s="19">
        <f t="shared" si="82"/>
        <v>1.5106974633930752</v>
      </c>
      <c r="AC172" s="19">
        <f t="shared" si="61"/>
        <v>0</v>
      </c>
      <c r="AD172" s="19">
        <f t="shared" si="72"/>
        <v>31.653210146427227</v>
      </c>
      <c r="AE172" s="23">
        <f t="shared" si="73"/>
        <v>1140.3622101464273</v>
      </c>
      <c r="AF172" s="27">
        <f>(1/(2*LOG(3.7*$I172/'Calculation Constants'!$B$4*1000)))^2</f>
        <v>1.1575055557914658E-2</v>
      </c>
      <c r="AG172" s="19">
        <f t="shared" si="62"/>
        <v>1.6876908272744866</v>
      </c>
      <c r="AH172" s="19">
        <f>IF($H172&gt;0,'Calculation Constants'!$B$9*Hydraulics!$K172^2/2/9.81/MAX($F$4:$F$253)*$H172,"")</f>
        <v>7.8734226558858159E-2</v>
      </c>
      <c r="AI172" s="19">
        <f t="shared" si="74"/>
        <v>1.7664250538333448</v>
      </c>
      <c r="AJ172" s="19">
        <f t="shared" si="63"/>
        <v>0</v>
      </c>
      <c r="AK172" s="19">
        <f t="shared" si="75"/>
        <v>30.630299784666931</v>
      </c>
      <c r="AL172" s="23">
        <f t="shared" si="76"/>
        <v>1139.339299784667</v>
      </c>
      <c r="AM172" s="22">
        <f>(1/(2*LOG(3.7*($I172-0.008)/'Calculation Constants'!$B$5*1000)))^2</f>
        <v>1.4709705891825043E-2</v>
      </c>
      <c r="AN172" s="19">
        <f t="shared" si="77"/>
        <v>2.1543104841910781</v>
      </c>
      <c r="AO172" s="19">
        <f>IF($H172&gt;0,'Calculation Constants'!$B$9*Hydraulics!$K172^2/2/9.81/MAX($F$4:$F$253)*$H172,"")</f>
        <v>7.8734226558858159E-2</v>
      </c>
      <c r="AP172" s="19">
        <f t="shared" si="78"/>
        <v>2.2330447107499363</v>
      </c>
      <c r="AQ172" s="19">
        <f t="shared" si="64"/>
        <v>0</v>
      </c>
      <c r="AR172" s="19">
        <f t="shared" si="79"/>
        <v>28.763821157000166</v>
      </c>
      <c r="AS172" s="23">
        <f t="shared" si="80"/>
        <v>1137.4728211570002</v>
      </c>
    </row>
    <row r="173" spans="5:45">
      <c r="E173" s="35" t="str">
        <f t="shared" si="65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1"/>
        <v>2</v>
      </c>
      <c r="I173" s="19">
        <v>1.8</v>
      </c>
      <c r="J173" s="36">
        <f>'Flow Rate Calculations'!$B$7</f>
        <v>4.0831050228310497</v>
      </c>
      <c r="K173" s="36">
        <f t="shared" si="66"/>
        <v>1.6045588828318709</v>
      </c>
      <c r="L173" s="37">
        <f>$I173*$K173/'Calculation Constants'!$B$7</f>
        <v>2555934.503625989</v>
      </c>
      <c r="M173" s="37">
        <f t="shared" si="67"/>
        <v>43.905999999999949</v>
      </c>
      <c r="N173" s="23">
        <f t="shared" si="68"/>
        <v>37.136090232281049</v>
      </c>
      <c r="O173" s="57">
        <f t="shared" si="56"/>
        <v>43.905999999999949</v>
      </c>
      <c r="P173" s="66">
        <f>MAX(I173*1000/'Calculation Constants'!$B$14,O173*10*I173*1000/2/('Calculation Constants'!$B$12*1000*'Calculation Constants'!$B$13))</f>
        <v>11.25</v>
      </c>
      <c r="Q173" s="68">
        <f t="shared" si="57"/>
        <v>992548.40161508287</v>
      </c>
      <c r="R173" s="27">
        <f>(1/(2*LOG(3.7*$I173/'Calculation Constants'!$B$2*1000)))^2</f>
        <v>8.7463077071963571E-3</v>
      </c>
      <c r="S173" s="19">
        <f t="shared" si="69"/>
        <v>1.2752477269849725</v>
      </c>
      <c r="T173" s="19">
        <f>IF($H173&gt;0,'Calculation Constants'!$B$9*Hydraulics!$K173^2/2/9.81/MAX($F$4:$F$253)*$H173,"")</f>
        <v>7.8734226558858159E-2</v>
      </c>
      <c r="U173" s="19">
        <f t="shared" si="70"/>
        <v>1.3539819535438307</v>
      </c>
      <c r="V173" s="19">
        <f t="shared" si="58"/>
        <v>0</v>
      </c>
      <c r="W173" s="19">
        <f t="shared" si="59"/>
        <v>37.136090232281049</v>
      </c>
      <c r="X173" s="23">
        <f t="shared" si="71"/>
        <v>1139.6350902322811</v>
      </c>
      <c r="Y173" s="22">
        <f>(1/(2*LOG(3.7*$I173/'Calculation Constants'!$B$3*1000)))^2</f>
        <v>9.8211436332891755E-3</v>
      </c>
      <c r="Z173" s="19">
        <f t="shared" si="60"/>
        <v>1.431963236834217</v>
      </c>
      <c r="AA173" s="19">
        <f>IF($H173&gt;0,'Calculation Constants'!$B$9*Hydraulics!$K173^2/2/9.81/MAX($F$4:$F$253)*$H173,"")</f>
        <v>7.8734226558858159E-2</v>
      </c>
      <c r="AB173" s="19">
        <f t="shared" si="82"/>
        <v>1.5106974633930752</v>
      </c>
      <c r="AC173" s="19">
        <f t="shared" si="61"/>
        <v>0</v>
      </c>
      <c r="AD173" s="19">
        <f t="shared" si="72"/>
        <v>36.352512683034092</v>
      </c>
      <c r="AE173" s="23">
        <f t="shared" si="73"/>
        <v>1138.8515126830341</v>
      </c>
      <c r="AF173" s="27">
        <f>(1/(2*LOG(3.7*$I173/'Calculation Constants'!$B$4*1000)))^2</f>
        <v>1.1575055557914658E-2</v>
      </c>
      <c r="AG173" s="19">
        <f t="shared" si="62"/>
        <v>1.6876908272744866</v>
      </c>
      <c r="AH173" s="19">
        <f>IF($H173&gt;0,'Calculation Constants'!$B$9*Hydraulics!$K173^2/2/9.81/MAX($F$4:$F$253)*$H173,"")</f>
        <v>7.8734226558858159E-2</v>
      </c>
      <c r="AI173" s="19">
        <f t="shared" si="74"/>
        <v>1.7664250538333448</v>
      </c>
      <c r="AJ173" s="19">
        <f t="shared" si="63"/>
        <v>0</v>
      </c>
      <c r="AK173" s="19">
        <f t="shared" si="75"/>
        <v>35.073874730833722</v>
      </c>
      <c r="AL173" s="23">
        <f t="shared" si="76"/>
        <v>1137.5728747308337</v>
      </c>
      <c r="AM173" s="22">
        <f>(1/(2*LOG(3.7*($I173-0.008)/'Calculation Constants'!$B$5*1000)))^2</f>
        <v>1.4709705891825043E-2</v>
      </c>
      <c r="AN173" s="19">
        <f t="shared" si="77"/>
        <v>2.1543104841910781</v>
      </c>
      <c r="AO173" s="19">
        <f>IF($H173&gt;0,'Calculation Constants'!$B$9*Hydraulics!$K173^2/2/9.81/MAX($F$4:$F$253)*$H173,"")</f>
        <v>7.8734226558858159E-2</v>
      </c>
      <c r="AP173" s="19">
        <f t="shared" si="78"/>
        <v>2.2330447107499363</v>
      </c>
      <c r="AQ173" s="19">
        <f t="shared" si="64"/>
        <v>0</v>
      </c>
      <c r="AR173" s="19">
        <f t="shared" si="79"/>
        <v>32.740776446250266</v>
      </c>
      <c r="AS173" s="23">
        <f t="shared" si="80"/>
        <v>1135.2397764462503</v>
      </c>
    </row>
    <row r="174" spans="5:45">
      <c r="E174" s="35" t="str">
        <f t="shared" si="65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1"/>
        <v>2</v>
      </c>
      <c r="I174" s="19">
        <v>1.8</v>
      </c>
      <c r="J174" s="36">
        <f>'Flow Rate Calculations'!$B$7</f>
        <v>4.0831050228310497</v>
      </c>
      <c r="K174" s="36">
        <f t="shared" si="66"/>
        <v>1.6045588828318709</v>
      </c>
      <c r="L174" s="37">
        <f>$I174*$K174/'Calculation Constants'!$B$7</f>
        <v>2555934.503625989</v>
      </c>
      <c r="M174" s="37">
        <f t="shared" si="67"/>
        <v>50.05600000000004</v>
      </c>
      <c r="N174" s="23">
        <f t="shared" si="68"/>
        <v>41.93210827873736</v>
      </c>
      <c r="O174" s="57">
        <f t="shared" si="56"/>
        <v>50.05600000000004</v>
      </c>
      <c r="P174" s="66">
        <f>MAX(I174*1000/'Calculation Constants'!$B$14,O174*10*I174*1000/2/('Calculation Constants'!$B$12*1000*'Calculation Constants'!$B$13))</f>
        <v>11.25</v>
      </c>
      <c r="Q174" s="68">
        <f t="shared" si="57"/>
        <v>992548.40161508287</v>
      </c>
      <c r="R174" s="27">
        <f>(1/(2*LOG(3.7*$I174/'Calculation Constants'!$B$2*1000)))^2</f>
        <v>8.7463077071963571E-3</v>
      </c>
      <c r="S174" s="19">
        <f t="shared" si="69"/>
        <v>1.2752477269849725</v>
      </c>
      <c r="T174" s="19">
        <f>IF($H174&gt;0,'Calculation Constants'!$B$9*Hydraulics!$K174^2/2/9.81/MAX($F$4:$F$253)*$H174,"")</f>
        <v>7.8734226558858159E-2</v>
      </c>
      <c r="U174" s="19">
        <f t="shared" si="70"/>
        <v>1.3539819535438307</v>
      </c>
      <c r="V174" s="19">
        <f t="shared" si="58"/>
        <v>0</v>
      </c>
      <c r="W174" s="19">
        <f t="shared" si="59"/>
        <v>41.93210827873736</v>
      </c>
      <c r="X174" s="23">
        <f t="shared" si="71"/>
        <v>1138.2811082787373</v>
      </c>
      <c r="Y174" s="22">
        <f>(1/(2*LOG(3.7*$I174/'Calculation Constants'!$B$3*1000)))^2</f>
        <v>9.8211436332891755E-3</v>
      </c>
      <c r="Z174" s="19">
        <f t="shared" si="60"/>
        <v>1.431963236834217</v>
      </c>
      <c r="AA174" s="19">
        <f>IF($H174&gt;0,'Calculation Constants'!$B$9*Hydraulics!$K174^2/2/9.81/MAX($F$4:$F$253)*$H174,"")</f>
        <v>7.8734226558858159E-2</v>
      </c>
      <c r="AB174" s="19">
        <f t="shared" si="82"/>
        <v>1.5106974633930752</v>
      </c>
      <c r="AC174" s="19">
        <f t="shared" si="61"/>
        <v>0</v>
      </c>
      <c r="AD174" s="19">
        <f t="shared" si="72"/>
        <v>40.991815219641012</v>
      </c>
      <c r="AE174" s="23">
        <f t="shared" si="73"/>
        <v>1137.3408152196409</v>
      </c>
      <c r="AF174" s="27">
        <f>(1/(2*LOG(3.7*$I174/'Calculation Constants'!$B$4*1000)))^2</f>
        <v>1.1575055557914658E-2</v>
      </c>
      <c r="AG174" s="19">
        <f t="shared" si="62"/>
        <v>1.6876908272744866</v>
      </c>
      <c r="AH174" s="19">
        <f>IF($H174&gt;0,'Calculation Constants'!$B$9*Hydraulics!$K174^2/2/9.81/MAX($F$4:$F$253)*$H174,"")</f>
        <v>7.8734226558858159E-2</v>
      </c>
      <c r="AI174" s="19">
        <f t="shared" si="74"/>
        <v>1.7664250538333448</v>
      </c>
      <c r="AJ174" s="19">
        <f t="shared" si="63"/>
        <v>0</v>
      </c>
      <c r="AK174" s="19">
        <f t="shared" si="75"/>
        <v>39.457449677000568</v>
      </c>
      <c r="AL174" s="23">
        <f t="shared" si="76"/>
        <v>1135.8064496770005</v>
      </c>
      <c r="AM174" s="22">
        <f>(1/(2*LOG(3.7*($I174-0.008)/'Calculation Constants'!$B$5*1000)))^2</f>
        <v>1.4709705891825043E-2</v>
      </c>
      <c r="AN174" s="19">
        <f t="shared" si="77"/>
        <v>2.1543104841910781</v>
      </c>
      <c r="AO174" s="19">
        <f>IF($H174&gt;0,'Calculation Constants'!$B$9*Hydraulics!$K174^2/2/9.81/MAX($F$4:$F$253)*$H174,"")</f>
        <v>7.8734226558858159E-2</v>
      </c>
      <c r="AP174" s="19">
        <f t="shared" si="78"/>
        <v>2.2330447107499363</v>
      </c>
      <c r="AQ174" s="19">
        <f t="shared" si="64"/>
        <v>0</v>
      </c>
      <c r="AR174" s="19">
        <f t="shared" si="79"/>
        <v>36.65773173550042</v>
      </c>
      <c r="AS174" s="23">
        <f t="shared" si="80"/>
        <v>1133.0067317355004</v>
      </c>
    </row>
    <row r="175" spans="5:45">
      <c r="E175" s="35" t="str">
        <f t="shared" si="65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1"/>
        <v>2</v>
      </c>
      <c r="I175" s="19">
        <v>1.8</v>
      </c>
      <c r="J175" s="36">
        <f>'Flow Rate Calculations'!$B$7</f>
        <v>4.0831050228310497</v>
      </c>
      <c r="K175" s="36">
        <f t="shared" si="66"/>
        <v>1.6045588828318709</v>
      </c>
      <c r="L175" s="37">
        <f>$I175*$K175/'Calculation Constants'!$B$7</f>
        <v>2555934.503625989</v>
      </c>
      <c r="M175" s="37">
        <f t="shared" si="67"/>
        <v>56.014999999999873</v>
      </c>
      <c r="N175" s="23">
        <f t="shared" si="68"/>
        <v>46.537126325193412</v>
      </c>
      <c r="O175" s="57">
        <f t="shared" si="56"/>
        <v>56.014999999999873</v>
      </c>
      <c r="P175" s="66">
        <f>MAX(I175*1000/'Calculation Constants'!$B$14,O175*10*I175*1000/2/('Calculation Constants'!$B$12*1000*'Calculation Constants'!$B$13))</f>
        <v>11.25</v>
      </c>
      <c r="Q175" s="68">
        <f t="shared" si="57"/>
        <v>992548.40161508287</v>
      </c>
      <c r="R175" s="27">
        <f>(1/(2*LOG(3.7*$I175/'Calculation Constants'!$B$2*1000)))^2</f>
        <v>8.7463077071963571E-3</v>
      </c>
      <c r="S175" s="19">
        <f t="shared" si="69"/>
        <v>1.2752477269849725</v>
      </c>
      <c r="T175" s="19">
        <f>IF($H175&gt;0,'Calculation Constants'!$B$9*Hydraulics!$K175^2/2/9.81/MAX($F$4:$F$253)*$H175,"")</f>
        <v>7.8734226558858159E-2</v>
      </c>
      <c r="U175" s="19">
        <f t="shared" si="70"/>
        <v>1.3539819535438307</v>
      </c>
      <c r="V175" s="19">
        <f t="shared" si="58"/>
        <v>0</v>
      </c>
      <c r="W175" s="19">
        <f t="shared" si="59"/>
        <v>46.537126325193412</v>
      </c>
      <c r="X175" s="23">
        <f t="shared" si="71"/>
        <v>1136.9271263251935</v>
      </c>
      <c r="Y175" s="22">
        <f>(1/(2*LOG(3.7*$I175/'Calculation Constants'!$B$3*1000)))^2</f>
        <v>9.8211436332891755E-3</v>
      </c>
      <c r="Z175" s="19">
        <f t="shared" si="60"/>
        <v>1.431963236834217</v>
      </c>
      <c r="AA175" s="19">
        <f>IF($H175&gt;0,'Calculation Constants'!$B$9*Hydraulics!$K175^2/2/9.81/MAX($F$4:$F$253)*$H175,"")</f>
        <v>7.8734226558858159E-2</v>
      </c>
      <c r="AB175" s="19">
        <f t="shared" si="82"/>
        <v>1.5106974633930752</v>
      </c>
      <c r="AC175" s="19">
        <f t="shared" si="61"/>
        <v>0</v>
      </c>
      <c r="AD175" s="19">
        <f t="shared" si="72"/>
        <v>45.440117756247673</v>
      </c>
      <c r="AE175" s="23">
        <f t="shared" si="73"/>
        <v>1135.8301177562478</v>
      </c>
      <c r="AF175" s="27">
        <f>(1/(2*LOG(3.7*$I175/'Calculation Constants'!$B$4*1000)))^2</f>
        <v>1.1575055557914658E-2</v>
      </c>
      <c r="AG175" s="19">
        <f t="shared" si="62"/>
        <v>1.6876908272744866</v>
      </c>
      <c r="AH175" s="19">
        <f>IF($H175&gt;0,'Calculation Constants'!$B$9*Hydraulics!$K175^2/2/9.81/MAX($F$4:$F$253)*$H175,"")</f>
        <v>7.8734226558858159E-2</v>
      </c>
      <c r="AI175" s="19">
        <f t="shared" si="74"/>
        <v>1.7664250538333448</v>
      </c>
      <c r="AJ175" s="19">
        <f t="shared" si="63"/>
        <v>0</v>
      </c>
      <c r="AK175" s="19">
        <f t="shared" si="75"/>
        <v>43.650024623167155</v>
      </c>
      <c r="AL175" s="23">
        <f t="shared" si="76"/>
        <v>1134.0400246231673</v>
      </c>
      <c r="AM175" s="22">
        <f>(1/(2*LOG(3.7*($I175-0.008)/'Calculation Constants'!$B$5*1000)))^2</f>
        <v>1.4709705891825043E-2</v>
      </c>
      <c r="AN175" s="19">
        <f t="shared" si="77"/>
        <v>2.1543104841910781</v>
      </c>
      <c r="AO175" s="19">
        <f>IF($H175&gt;0,'Calculation Constants'!$B$9*Hydraulics!$K175^2/2/9.81/MAX($F$4:$F$253)*$H175,"")</f>
        <v>7.8734226558858159E-2</v>
      </c>
      <c r="AP175" s="19">
        <f t="shared" si="78"/>
        <v>2.2330447107499363</v>
      </c>
      <c r="AQ175" s="19">
        <f t="shared" si="64"/>
        <v>0</v>
      </c>
      <c r="AR175" s="19">
        <f t="shared" si="79"/>
        <v>40.383687024750316</v>
      </c>
      <c r="AS175" s="23">
        <f t="shared" si="80"/>
        <v>1130.7736870247504</v>
      </c>
    </row>
    <row r="176" spans="5:45">
      <c r="E176" s="35" t="str">
        <f t="shared" si="65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1"/>
        <v>2</v>
      </c>
      <c r="I176" s="19">
        <v>1.8</v>
      </c>
      <c r="J176" s="36">
        <f>'Flow Rate Calculations'!$B$7</f>
        <v>4.0831050228310497</v>
      </c>
      <c r="K176" s="36">
        <f t="shared" si="66"/>
        <v>1.6045588828318709</v>
      </c>
      <c r="L176" s="37">
        <f>$I176*$K176/'Calculation Constants'!$B$7</f>
        <v>2555934.503625989</v>
      </c>
      <c r="M176" s="37">
        <f t="shared" si="67"/>
        <v>58.639999999999873</v>
      </c>
      <c r="N176" s="23">
        <f t="shared" si="68"/>
        <v>47.808144371649632</v>
      </c>
      <c r="O176" s="57">
        <f t="shared" si="56"/>
        <v>58.639999999999873</v>
      </c>
      <c r="P176" s="66">
        <f>MAX(I176*1000/'Calculation Constants'!$B$14,O176*10*I176*1000/2/('Calculation Constants'!$B$12*1000*'Calculation Constants'!$B$13))</f>
        <v>11.25</v>
      </c>
      <c r="Q176" s="68">
        <f t="shared" si="57"/>
        <v>992548.40161508287</v>
      </c>
      <c r="R176" s="27">
        <f>(1/(2*LOG(3.7*$I176/'Calculation Constants'!$B$2*1000)))^2</f>
        <v>8.7463077071963571E-3</v>
      </c>
      <c r="S176" s="19">
        <f t="shared" si="69"/>
        <v>1.2752477269849725</v>
      </c>
      <c r="T176" s="19">
        <f>IF($H176&gt;0,'Calculation Constants'!$B$9*Hydraulics!$K176^2/2/9.81/MAX($F$4:$F$253)*$H176,"")</f>
        <v>7.8734226558858159E-2</v>
      </c>
      <c r="U176" s="19">
        <f t="shared" si="70"/>
        <v>1.3539819535438307</v>
      </c>
      <c r="V176" s="19">
        <f t="shared" si="58"/>
        <v>0</v>
      </c>
      <c r="W176" s="19">
        <f t="shared" si="59"/>
        <v>47.808144371649632</v>
      </c>
      <c r="X176" s="23">
        <f t="shared" si="71"/>
        <v>1135.5731443716497</v>
      </c>
      <c r="Y176" s="22">
        <f>(1/(2*LOG(3.7*$I176/'Calculation Constants'!$B$3*1000)))^2</f>
        <v>9.8211436332891755E-3</v>
      </c>
      <c r="Z176" s="19">
        <f t="shared" si="60"/>
        <v>1.431963236834217</v>
      </c>
      <c r="AA176" s="19">
        <f>IF($H176&gt;0,'Calculation Constants'!$B$9*Hydraulics!$K176^2/2/9.81/MAX($F$4:$F$253)*$H176,"")</f>
        <v>7.8734226558858159E-2</v>
      </c>
      <c r="AB176" s="19">
        <f t="shared" si="82"/>
        <v>1.5106974633930752</v>
      </c>
      <c r="AC176" s="19">
        <f t="shared" si="61"/>
        <v>0</v>
      </c>
      <c r="AD176" s="19">
        <f t="shared" si="72"/>
        <v>46.554420292854502</v>
      </c>
      <c r="AE176" s="23">
        <f t="shared" si="73"/>
        <v>1134.3194202928546</v>
      </c>
      <c r="AF176" s="27">
        <f>(1/(2*LOG(3.7*$I176/'Calculation Constants'!$B$4*1000)))^2</f>
        <v>1.1575055557914658E-2</v>
      </c>
      <c r="AG176" s="19">
        <f t="shared" si="62"/>
        <v>1.6876908272744866</v>
      </c>
      <c r="AH176" s="19">
        <f>IF($H176&gt;0,'Calculation Constants'!$B$9*Hydraulics!$K176^2/2/9.81/MAX($F$4:$F$253)*$H176,"")</f>
        <v>7.8734226558858159E-2</v>
      </c>
      <c r="AI176" s="19">
        <f t="shared" si="74"/>
        <v>1.7664250538333448</v>
      </c>
      <c r="AJ176" s="19">
        <f t="shared" si="63"/>
        <v>0</v>
      </c>
      <c r="AK176" s="19">
        <f t="shared" si="75"/>
        <v>44.50859956933391</v>
      </c>
      <c r="AL176" s="23">
        <f t="shared" si="76"/>
        <v>1132.273599569334</v>
      </c>
      <c r="AM176" s="22">
        <f>(1/(2*LOG(3.7*($I176-0.008)/'Calculation Constants'!$B$5*1000)))^2</f>
        <v>1.4709705891825043E-2</v>
      </c>
      <c r="AN176" s="19">
        <f t="shared" si="77"/>
        <v>2.1543104841910781</v>
      </c>
      <c r="AO176" s="19">
        <f>IF($H176&gt;0,'Calculation Constants'!$B$9*Hydraulics!$K176^2/2/9.81/MAX($F$4:$F$253)*$H176,"")</f>
        <v>7.8734226558858159E-2</v>
      </c>
      <c r="AP176" s="19">
        <f t="shared" si="78"/>
        <v>2.2330447107499363</v>
      </c>
      <c r="AQ176" s="19">
        <f t="shared" si="64"/>
        <v>0</v>
      </c>
      <c r="AR176" s="19">
        <f t="shared" si="79"/>
        <v>40.775642314000379</v>
      </c>
      <c r="AS176" s="23">
        <f t="shared" si="80"/>
        <v>1128.5406423140005</v>
      </c>
    </row>
    <row r="177" spans="5:45">
      <c r="E177" s="35" t="str">
        <f t="shared" si="65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1"/>
        <v>2</v>
      </c>
      <c r="I177" s="19">
        <v>1.8</v>
      </c>
      <c r="J177" s="36">
        <f>'Flow Rate Calculations'!$B$7</f>
        <v>4.0831050228310497</v>
      </c>
      <c r="K177" s="36">
        <f t="shared" si="66"/>
        <v>1.6045588828318709</v>
      </c>
      <c r="L177" s="37">
        <f>$I177*$K177/'Calculation Constants'!$B$7</f>
        <v>2555934.503625989</v>
      </c>
      <c r="M177" s="37">
        <f t="shared" si="67"/>
        <v>61.743999999999915</v>
      </c>
      <c r="N177" s="23">
        <f t="shared" si="68"/>
        <v>49.558162418105894</v>
      </c>
      <c r="O177" s="57">
        <f t="shared" si="56"/>
        <v>61.743999999999915</v>
      </c>
      <c r="P177" s="66">
        <f>MAX(I177*1000/'Calculation Constants'!$B$14,O177*10*I177*1000/2/('Calculation Constants'!$B$12*1000*'Calculation Constants'!$B$13))</f>
        <v>11.25</v>
      </c>
      <c r="Q177" s="68">
        <f t="shared" si="57"/>
        <v>992548.40161508287</v>
      </c>
      <c r="R177" s="27">
        <f>(1/(2*LOG(3.7*$I177/'Calculation Constants'!$B$2*1000)))^2</f>
        <v>8.7463077071963571E-3</v>
      </c>
      <c r="S177" s="19">
        <f t="shared" si="69"/>
        <v>1.2752477269849725</v>
      </c>
      <c r="T177" s="19">
        <f>IF($H177&gt;0,'Calculation Constants'!$B$9*Hydraulics!$K177^2/2/9.81/MAX($F$4:$F$253)*$H177,"")</f>
        <v>7.8734226558858159E-2</v>
      </c>
      <c r="U177" s="19">
        <f t="shared" si="70"/>
        <v>1.3539819535438307</v>
      </c>
      <c r="V177" s="19">
        <f t="shared" si="58"/>
        <v>0</v>
      </c>
      <c r="W177" s="19">
        <f t="shared" si="59"/>
        <v>49.558162418105894</v>
      </c>
      <c r="X177" s="23">
        <f t="shared" si="71"/>
        <v>1134.219162418106</v>
      </c>
      <c r="Y177" s="22">
        <f>(1/(2*LOG(3.7*$I177/'Calculation Constants'!$B$3*1000)))^2</f>
        <v>9.8211436332891755E-3</v>
      </c>
      <c r="Z177" s="19">
        <f t="shared" si="60"/>
        <v>1.431963236834217</v>
      </c>
      <c r="AA177" s="19">
        <f>IF($H177&gt;0,'Calculation Constants'!$B$9*Hydraulics!$K177^2/2/9.81/MAX($F$4:$F$253)*$H177,"")</f>
        <v>7.8734226558858159E-2</v>
      </c>
      <c r="AB177" s="19">
        <f t="shared" si="82"/>
        <v>1.5106974633930752</v>
      </c>
      <c r="AC177" s="19">
        <f t="shared" si="61"/>
        <v>0</v>
      </c>
      <c r="AD177" s="19">
        <f t="shared" si="72"/>
        <v>48.147722829461372</v>
      </c>
      <c r="AE177" s="23">
        <f t="shared" si="73"/>
        <v>1132.8087228294614</v>
      </c>
      <c r="AF177" s="27">
        <f>(1/(2*LOG(3.7*$I177/'Calculation Constants'!$B$4*1000)))^2</f>
        <v>1.1575055557914658E-2</v>
      </c>
      <c r="AG177" s="19">
        <f t="shared" si="62"/>
        <v>1.6876908272744866</v>
      </c>
      <c r="AH177" s="19">
        <f>IF($H177&gt;0,'Calculation Constants'!$B$9*Hydraulics!$K177^2/2/9.81/MAX($F$4:$F$253)*$H177,"")</f>
        <v>7.8734226558858159E-2</v>
      </c>
      <c r="AI177" s="19">
        <f t="shared" si="74"/>
        <v>1.7664250538333448</v>
      </c>
      <c r="AJ177" s="19">
        <f t="shared" si="63"/>
        <v>0</v>
      </c>
      <c r="AK177" s="19">
        <f t="shared" si="75"/>
        <v>45.846174515500707</v>
      </c>
      <c r="AL177" s="23">
        <f t="shared" si="76"/>
        <v>1130.5071745155008</v>
      </c>
      <c r="AM177" s="22">
        <f>(1/(2*LOG(3.7*($I177-0.008)/'Calculation Constants'!$B$5*1000)))^2</f>
        <v>1.4709705891825043E-2</v>
      </c>
      <c r="AN177" s="19">
        <f t="shared" si="77"/>
        <v>2.1543104841910781</v>
      </c>
      <c r="AO177" s="19">
        <f>IF($H177&gt;0,'Calculation Constants'!$B$9*Hydraulics!$K177^2/2/9.81/MAX($F$4:$F$253)*$H177,"")</f>
        <v>7.8734226558858159E-2</v>
      </c>
      <c r="AP177" s="19">
        <f t="shared" si="78"/>
        <v>2.2330447107499363</v>
      </c>
      <c r="AQ177" s="19">
        <f t="shared" si="64"/>
        <v>0</v>
      </c>
      <c r="AR177" s="19">
        <f t="shared" si="79"/>
        <v>41.646597603250484</v>
      </c>
      <c r="AS177" s="23">
        <f t="shared" si="80"/>
        <v>1126.3075976032505</v>
      </c>
    </row>
    <row r="178" spans="5:45">
      <c r="E178" s="35" t="str">
        <f t="shared" si="65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1"/>
        <v>2</v>
      </c>
      <c r="I178" s="19">
        <v>1.8</v>
      </c>
      <c r="J178" s="36">
        <f>'Flow Rate Calculations'!$B$7</f>
        <v>4.0831050228310497</v>
      </c>
      <c r="K178" s="36">
        <f t="shared" si="66"/>
        <v>1.6045588828318709</v>
      </c>
      <c r="L178" s="37">
        <f>$I178*$K178/'Calculation Constants'!$B$7</f>
        <v>2555934.503625989</v>
      </c>
      <c r="M178" s="37">
        <f t="shared" si="67"/>
        <v>64.742999999999938</v>
      </c>
      <c r="N178" s="23">
        <f t="shared" si="68"/>
        <v>51.203180464562138</v>
      </c>
      <c r="O178" s="57">
        <f t="shared" si="56"/>
        <v>64.742999999999938</v>
      </c>
      <c r="P178" s="66">
        <f>MAX(I178*1000/'Calculation Constants'!$B$14,O178*10*I178*1000/2/('Calculation Constants'!$B$12*1000*'Calculation Constants'!$B$13))</f>
        <v>11.25</v>
      </c>
      <c r="Q178" s="68">
        <f t="shared" si="57"/>
        <v>992548.40161508287</v>
      </c>
      <c r="R178" s="27">
        <f>(1/(2*LOG(3.7*$I178/'Calculation Constants'!$B$2*1000)))^2</f>
        <v>8.7463077071963571E-3</v>
      </c>
      <c r="S178" s="19">
        <f t="shared" si="69"/>
        <v>1.2752477269849725</v>
      </c>
      <c r="T178" s="19">
        <f>IF($H178&gt;0,'Calculation Constants'!$B$9*Hydraulics!$K178^2/2/9.81/MAX($F$4:$F$253)*$H178,"")</f>
        <v>7.8734226558858159E-2</v>
      </c>
      <c r="U178" s="19">
        <f t="shared" si="70"/>
        <v>1.3539819535438307</v>
      </c>
      <c r="V178" s="19">
        <f t="shared" si="58"/>
        <v>0</v>
      </c>
      <c r="W178" s="19">
        <f t="shared" si="59"/>
        <v>51.203180464562138</v>
      </c>
      <c r="X178" s="23">
        <f t="shared" si="71"/>
        <v>1132.8651804645622</v>
      </c>
      <c r="Y178" s="22">
        <f>(1/(2*LOG(3.7*$I178/'Calculation Constants'!$B$3*1000)))^2</f>
        <v>9.8211436332891755E-3</v>
      </c>
      <c r="Z178" s="19">
        <f t="shared" si="60"/>
        <v>1.431963236834217</v>
      </c>
      <c r="AA178" s="19">
        <f>IF($H178&gt;0,'Calculation Constants'!$B$9*Hydraulics!$K178^2/2/9.81/MAX($F$4:$F$253)*$H178,"")</f>
        <v>7.8734226558858159E-2</v>
      </c>
      <c r="AB178" s="19">
        <f t="shared" si="82"/>
        <v>1.5106974633930752</v>
      </c>
      <c r="AC178" s="19">
        <f t="shared" si="61"/>
        <v>0</v>
      </c>
      <c r="AD178" s="19">
        <f t="shared" si="72"/>
        <v>49.636025366068225</v>
      </c>
      <c r="AE178" s="23">
        <f t="shared" si="73"/>
        <v>1131.2980253660683</v>
      </c>
      <c r="AF178" s="27">
        <f>(1/(2*LOG(3.7*$I178/'Calculation Constants'!$B$4*1000)))^2</f>
        <v>1.1575055557914658E-2</v>
      </c>
      <c r="AG178" s="19">
        <f t="shared" si="62"/>
        <v>1.6876908272744866</v>
      </c>
      <c r="AH178" s="19">
        <f>IF($H178&gt;0,'Calculation Constants'!$B$9*Hydraulics!$K178^2/2/9.81/MAX($F$4:$F$253)*$H178,"")</f>
        <v>7.8734226558858159E-2</v>
      </c>
      <c r="AI178" s="19">
        <f t="shared" si="74"/>
        <v>1.7664250538333448</v>
      </c>
      <c r="AJ178" s="19">
        <f t="shared" si="63"/>
        <v>0</v>
      </c>
      <c r="AK178" s="19">
        <f t="shared" si="75"/>
        <v>47.078749461667485</v>
      </c>
      <c r="AL178" s="23">
        <f t="shared" si="76"/>
        <v>1128.7407494616675</v>
      </c>
      <c r="AM178" s="22">
        <f>(1/(2*LOG(3.7*($I178-0.008)/'Calculation Constants'!$B$5*1000)))^2</f>
        <v>1.4709705891825043E-2</v>
      </c>
      <c r="AN178" s="19">
        <f t="shared" si="77"/>
        <v>2.1543104841910781</v>
      </c>
      <c r="AO178" s="19">
        <f>IF($H178&gt;0,'Calculation Constants'!$B$9*Hydraulics!$K178^2/2/9.81/MAX($F$4:$F$253)*$H178,"")</f>
        <v>7.8734226558858159E-2</v>
      </c>
      <c r="AP178" s="19">
        <f t="shared" si="78"/>
        <v>2.2330447107499363</v>
      </c>
      <c r="AQ178" s="19">
        <f t="shared" si="64"/>
        <v>0</v>
      </c>
      <c r="AR178" s="19">
        <f t="shared" si="79"/>
        <v>42.412552892500571</v>
      </c>
      <c r="AS178" s="23">
        <f t="shared" si="80"/>
        <v>1124.0745528925006</v>
      </c>
    </row>
    <row r="179" spans="5:45">
      <c r="E179" s="35" t="str">
        <f t="shared" si="65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1"/>
        <v>2</v>
      </c>
      <c r="I179" s="19">
        <v>1.8</v>
      </c>
      <c r="J179" s="36">
        <f>'Flow Rate Calculations'!$B$7</f>
        <v>4.0831050228310497</v>
      </c>
      <c r="K179" s="36">
        <f t="shared" si="66"/>
        <v>1.6045588828318709</v>
      </c>
      <c r="L179" s="37">
        <f>$I179*$K179/'Calculation Constants'!$B$7</f>
        <v>2555934.503625989</v>
      </c>
      <c r="M179" s="37">
        <f t="shared" si="67"/>
        <v>69.532999999999902</v>
      </c>
      <c r="N179" s="23">
        <f t="shared" si="68"/>
        <v>54.639198511018321</v>
      </c>
      <c r="O179" s="57">
        <f t="shared" si="56"/>
        <v>69.532999999999902</v>
      </c>
      <c r="P179" s="66">
        <f>MAX(I179*1000/'Calculation Constants'!$B$14,O179*10*I179*1000/2/('Calculation Constants'!$B$12*1000*'Calculation Constants'!$B$13))</f>
        <v>11.25</v>
      </c>
      <c r="Q179" s="68">
        <f t="shared" si="57"/>
        <v>992548.40161508287</v>
      </c>
      <c r="R179" s="27">
        <f>(1/(2*LOG(3.7*$I179/'Calculation Constants'!$B$2*1000)))^2</f>
        <v>8.7463077071963571E-3</v>
      </c>
      <c r="S179" s="19">
        <f t="shared" si="69"/>
        <v>1.2752477269849725</v>
      </c>
      <c r="T179" s="19">
        <f>IF($H179&gt;0,'Calculation Constants'!$B$9*Hydraulics!$K179^2/2/9.81/MAX($F$4:$F$253)*$H179,"")</f>
        <v>7.8734226558858159E-2</v>
      </c>
      <c r="U179" s="19">
        <f t="shared" si="70"/>
        <v>1.3539819535438307</v>
      </c>
      <c r="V179" s="19">
        <f t="shared" si="58"/>
        <v>0</v>
      </c>
      <c r="W179" s="19">
        <f t="shared" si="59"/>
        <v>54.639198511018321</v>
      </c>
      <c r="X179" s="23">
        <f t="shared" si="71"/>
        <v>1131.5111985110184</v>
      </c>
      <c r="Y179" s="22">
        <f>(1/(2*LOG(3.7*$I179/'Calculation Constants'!$B$3*1000)))^2</f>
        <v>9.8211436332891755E-3</v>
      </c>
      <c r="Z179" s="19">
        <f t="shared" si="60"/>
        <v>1.431963236834217</v>
      </c>
      <c r="AA179" s="19">
        <f>IF($H179&gt;0,'Calculation Constants'!$B$9*Hydraulics!$K179^2/2/9.81/MAX($F$4:$F$253)*$H179,"")</f>
        <v>7.8734226558858159E-2</v>
      </c>
      <c r="AB179" s="19">
        <f t="shared" si="82"/>
        <v>1.5106974633930752</v>
      </c>
      <c r="AC179" s="19">
        <f t="shared" si="61"/>
        <v>0</v>
      </c>
      <c r="AD179" s="19">
        <f t="shared" si="72"/>
        <v>52.915327902675017</v>
      </c>
      <c r="AE179" s="23">
        <f t="shared" si="73"/>
        <v>1129.7873279026751</v>
      </c>
      <c r="AF179" s="27">
        <f>(1/(2*LOG(3.7*$I179/'Calculation Constants'!$B$4*1000)))^2</f>
        <v>1.1575055557914658E-2</v>
      </c>
      <c r="AG179" s="19">
        <f t="shared" si="62"/>
        <v>1.6876908272744866</v>
      </c>
      <c r="AH179" s="19">
        <f>IF($H179&gt;0,'Calculation Constants'!$B$9*Hydraulics!$K179^2/2/9.81/MAX($F$4:$F$253)*$H179,"")</f>
        <v>7.8734226558858159E-2</v>
      </c>
      <c r="AI179" s="19">
        <f t="shared" si="74"/>
        <v>1.7664250538333448</v>
      </c>
      <c r="AJ179" s="19">
        <f t="shared" si="63"/>
        <v>0</v>
      </c>
      <c r="AK179" s="19">
        <f t="shared" si="75"/>
        <v>50.102324407834203</v>
      </c>
      <c r="AL179" s="23">
        <f t="shared" si="76"/>
        <v>1126.9743244078343</v>
      </c>
      <c r="AM179" s="22">
        <f>(1/(2*LOG(3.7*($I179-0.008)/'Calculation Constants'!$B$5*1000)))^2</f>
        <v>1.4709705891825043E-2</v>
      </c>
      <c r="AN179" s="19">
        <f t="shared" si="77"/>
        <v>2.1543104841910781</v>
      </c>
      <c r="AO179" s="19">
        <f>IF($H179&gt;0,'Calculation Constants'!$B$9*Hydraulics!$K179^2/2/9.81/MAX($F$4:$F$253)*$H179,"")</f>
        <v>7.8734226558858159E-2</v>
      </c>
      <c r="AP179" s="19">
        <f t="shared" si="78"/>
        <v>2.2330447107499363</v>
      </c>
      <c r="AQ179" s="19">
        <f t="shared" si="64"/>
        <v>0</v>
      </c>
      <c r="AR179" s="19">
        <f t="shared" si="79"/>
        <v>44.969508181750598</v>
      </c>
      <c r="AS179" s="23">
        <f t="shared" si="80"/>
        <v>1121.8415081817507</v>
      </c>
    </row>
    <row r="180" spans="5:45">
      <c r="E180" s="35" t="str">
        <f t="shared" si="65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1"/>
        <v>2</v>
      </c>
      <c r="I180" s="19">
        <v>1.8</v>
      </c>
      <c r="J180" s="36">
        <f>'Flow Rate Calculations'!$B$7</f>
        <v>4.0831050228310497</v>
      </c>
      <c r="K180" s="36">
        <f t="shared" si="66"/>
        <v>1.6045588828318709</v>
      </c>
      <c r="L180" s="37">
        <f>$I180*$K180/'Calculation Constants'!$B$7</f>
        <v>2555934.503625989</v>
      </c>
      <c r="M180" s="37">
        <f t="shared" si="67"/>
        <v>75.507000000000062</v>
      </c>
      <c r="N180" s="23">
        <f t="shared" si="68"/>
        <v>59.259216557474701</v>
      </c>
      <c r="O180" s="57">
        <f t="shared" si="56"/>
        <v>75.507000000000062</v>
      </c>
      <c r="P180" s="66">
        <f>MAX(I180*1000/'Calculation Constants'!$B$14,O180*10*I180*1000/2/('Calculation Constants'!$B$12*1000*'Calculation Constants'!$B$13))</f>
        <v>11.25</v>
      </c>
      <c r="Q180" s="68">
        <f t="shared" si="57"/>
        <v>992548.40161508287</v>
      </c>
      <c r="R180" s="27">
        <f>(1/(2*LOG(3.7*$I180/'Calculation Constants'!$B$2*1000)))^2</f>
        <v>8.7463077071963571E-3</v>
      </c>
      <c r="S180" s="19">
        <f t="shared" si="69"/>
        <v>1.2752477269849725</v>
      </c>
      <c r="T180" s="19">
        <f>IF($H180&gt;0,'Calculation Constants'!$B$9*Hydraulics!$K180^2/2/9.81/MAX($F$4:$F$253)*$H180,"")</f>
        <v>7.8734226558858159E-2</v>
      </c>
      <c r="U180" s="19">
        <f t="shared" si="70"/>
        <v>1.3539819535438307</v>
      </c>
      <c r="V180" s="19">
        <f t="shared" si="58"/>
        <v>0</v>
      </c>
      <c r="W180" s="19">
        <f t="shared" si="59"/>
        <v>59.259216557474701</v>
      </c>
      <c r="X180" s="23">
        <f t="shared" si="71"/>
        <v>1130.1572165574746</v>
      </c>
      <c r="Y180" s="22">
        <f>(1/(2*LOG(3.7*$I180/'Calculation Constants'!$B$3*1000)))^2</f>
        <v>9.8211436332891755E-3</v>
      </c>
      <c r="Z180" s="19">
        <f t="shared" si="60"/>
        <v>1.431963236834217</v>
      </c>
      <c r="AA180" s="19">
        <f>IF($H180&gt;0,'Calculation Constants'!$B$9*Hydraulics!$K180^2/2/9.81/MAX($F$4:$F$253)*$H180,"")</f>
        <v>7.8734226558858159E-2</v>
      </c>
      <c r="AB180" s="19">
        <f t="shared" si="82"/>
        <v>1.5106974633930752</v>
      </c>
      <c r="AC180" s="19">
        <f t="shared" si="61"/>
        <v>0</v>
      </c>
      <c r="AD180" s="19">
        <f t="shared" si="72"/>
        <v>57.378630439282006</v>
      </c>
      <c r="AE180" s="23">
        <f t="shared" si="73"/>
        <v>1128.2766304392819</v>
      </c>
      <c r="AF180" s="27">
        <f>(1/(2*LOG(3.7*$I180/'Calculation Constants'!$B$4*1000)))^2</f>
        <v>1.1575055557914658E-2</v>
      </c>
      <c r="AG180" s="19">
        <f t="shared" si="62"/>
        <v>1.6876908272744866</v>
      </c>
      <c r="AH180" s="19">
        <f>IF($H180&gt;0,'Calculation Constants'!$B$9*Hydraulics!$K180^2/2/9.81/MAX($F$4:$F$253)*$H180,"")</f>
        <v>7.8734226558858159E-2</v>
      </c>
      <c r="AI180" s="19">
        <f t="shared" si="74"/>
        <v>1.7664250538333448</v>
      </c>
      <c r="AJ180" s="19">
        <f t="shared" si="63"/>
        <v>0</v>
      </c>
      <c r="AK180" s="19">
        <f t="shared" si="75"/>
        <v>54.309899354001118</v>
      </c>
      <c r="AL180" s="23">
        <f t="shared" si="76"/>
        <v>1125.207899354001</v>
      </c>
      <c r="AM180" s="22">
        <f>(1/(2*LOG(3.7*($I180-0.008)/'Calculation Constants'!$B$5*1000)))^2</f>
        <v>1.4709705891825043E-2</v>
      </c>
      <c r="AN180" s="19">
        <f t="shared" si="77"/>
        <v>2.1543104841910781</v>
      </c>
      <c r="AO180" s="19">
        <f>IF($H180&gt;0,'Calculation Constants'!$B$9*Hydraulics!$K180^2/2/9.81/MAX($F$4:$F$253)*$H180,"")</f>
        <v>7.8734226558858159E-2</v>
      </c>
      <c r="AP180" s="19">
        <f t="shared" si="78"/>
        <v>2.2330447107499363</v>
      </c>
      <c r="AQ180" s="19">
        <f t="shared" si="64"/>
        <v>0</v>
      </c>
      <c r="AR180" s="19">
        <f t="shared" si="79"/>
        <v>48.710463471000821</v>
      </c>
      <c r="AS180" s="23">
        <f t="shared" si="80"/>
        <v>1119.6084634710007</v>
      </c>
    </row>
    <row r="181" spans="5:45">
      <c r="E181" s="35" t="str">
        <f t="shared" si="65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1"/>
        <v>2</v>
      </c>
      <c r="I181" s="19">
        <v>1.8</v>
      </c>
      <c r="J181" s="36">
        <f>'Flow Rate Calculations'!$B$7</f>
        <v>4.0831050228310497</v>
      </c>
      <c r="K181" s="36">
        <f t="shared" si="66"/>
        <v>1.6045588828318709</v>
      </c>
      <c r="L181" s="37">
        <f>$I181*$K181/'Calculation Constants'!$B$7</f>
        <v>2555934.503625989</v>
      </c>
      <c r="M181" s="37">
        <f t="shared" si="67"/>
        <v>81.386999999999944</v>
      </c>
      <c r="N181" s="23">
        <f t="shared" si="68"/>
        <v>63.785234603930803</v>
      </c>
      <c r="O181" s="57">
        <f t="shared" si="56"/>
        <v>81.386999999999944</v>
      </c>
      <c r="P181" s="66">
        <f>MAX(I181*1000/'Calculation Constants'!$B$14,O181*10*I181*1000/2/('Calculation Constants'!$B$12*1000*'Calculation Constants'!$B$13))</f>
        <v>11.25</v>
      </c>
      <c r="Q181" s="68">
        <f t="shared" si="57"/>
        <v>992548.40161508287</v>
      </c>
      <c r="R181" s="27">
        <f>(1/(2*LOG(3.7*$I181/'Calculation Constants'!$B$2*1000)))^2</f>
        <v>8.7463077071963571E-3</v>
      </c>
      <c r="S181" s="19">
        <f t="shared" si="69"/>
        <v>1.2752477269849725</v>
      </c>
      <c r="T181" s="19">
        <f>IF($H181&gt;0,'Calculation Constants'!$B$9*Hydraulics!$K181^2/2/9.81/MAX($F$4:$F$253)*$H181,"")</f>
        <v>7.8734226558858159E-2</v>
      </c>
      <c r="U181" s="19">
        <f t="shared" si="70"/>
        <v>1.3539819535438307</v>
      </c>
      <c r="V181" s="19">
        <f t="shared" si="58"/>
        <v>0</v>
      </c>
      <c r="W181" s="19">
        <f t="shared" si="59"/>
        <v>63.785234603930803</v>
      </c>
      <c r="X181" s="23">
        <f t="shared" si="71"/>
        <v>1128.8032346039308</v>
      </c>
      <c r="Y181" s="22">
        <f>(1/(2*LOG(3.7*$I181/'Calculation Constants'!$B$3*1000)))^2</f>
        <v>9.8211436332891755E-3</v>
      </c>
      <c r="Z181" s="19">
        <f t="shared" si="60"/>
        <v>1.431963236834217</v>
      </c>
      <c r="AA181" s="19">
        <f>IF($H181&gt;0,'Calculation Constants'!$B$9*Hydraulics!$K181^2/2/9.81/MAX($F$4:$F$253)*$H181,"")</f>
        <v>7.8734226558858159E-2</v>
      </c>
      <c r="AB181" s="19">
        <f t="shared" si="82"/>
        <v>1.5106974633930752</v>
      </c>
      <c r="AC181" s="19">
        <f t="shared" si="61"/>
        <v>0</v>
      </c>
      <c r="AD181" s="19">
        <f t="shared" si="72"/>
        <v>61.747932975888716</v>
      </c>
      <c r="AE181" s="23">
        <f t="shared" si="73"/>
        <v>1126.7659329758887</v>
      </c>
      <c r="AF181" s="27">
        <f>(1/(2*LOG(3.7*$I181/'Calculation Constants'!$B$4*1000)))^2</f>
        <v>1.1575055557914658E-2</v>
      </c>
      <c r="AG181" s="19">
        <f t="shared" si="62"/>
        <v>1.6876908272744866</v>
      </c>
      <c r="AH181" s="19">
        <f>IF($H181&gt;0,'Calculation Constants'!$B$9*Hydraulics!$K181^2/2/9.81/MAX($F$4:$F$253)*$H181,"")</f>
        <v>7.8734226558858159E-2</v>
      </c>
      <c r="AI181" s="19">
        <f t="shared" si="74"/>
        <v>1.7664250538333448</v>
      </c>
      <c r="AJ181" s="19">
        <f t="shared" si="63"/>
        <v>0</v>
      </c>
      <c r="AK181" s="19">
        <f t="shared" si="75"/>
        <v>58.423474300167754</v>
      </c>
      <c r="AL181" s="23">
        <f t="shared" si="76"/>
        <v>1123.4414743001678</v>
      </c>
      <c r="AM181" s="22">
        <f>(1/(2*LOG(3.7*($I181-0.008)/'Calculation Constants'!$B$5*1000)))^2</f>
        <v>1.4709705891825043E-2</v>
      </c>
      <c r="AN181" s="19">
        <f t="shared" si="77"/>
        <v>2.1543104841910781</v>
      </c>
      <c r="AO181" s="19">
        <f>IF($H181&gt;0,'Calculation Constants'!$B$9*Hydraulics!$K181^2/2/9.81/MAX($F$4:$F$253)*$H181,"")</f>
        <v>7.8734226558858159E-2</v>
      </c>
      <c r="AP181" s="19">
        <f t="shared" si="78"/>
        <v>2.2330447107499363</v>
      </c>
      <c r="AQ181" s="19">
        <f t="shared" si="64"/>
        <v>0</v>
      </c>
      <c r="AR181" s="19">
        <f t="shared" si="79"/>
        <v>52.357418760250766</v>
      </c>
      <c r="AS181" s="23">
        <f t="shared" si="80"/>
        <v>1117.3754187602508</v>
      </c>
    </row>
    <row r="182" spans="5:45">
      <c r="E182" s="35" t="str">
        <f t="shared" si="65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1"/>
        <v>2</v>
      </c>
      <c r="I182" s="19">
        <v>1.8</v>
      </c>
      <c r="J182" s="36">
        <f>'Flow Rate Calculations'!$B$7</f>
        <v>4.0831050228310497</v>
      </c>
      <c r="K182" s="36">
        <f t="shared" si="66"/>
        <v>1.6045588828318709</v>
      </c>
      <c r="L182" s="37">
        <f>$I182*$K182/'Calculation Constants'!$B$7</f>
        <v>2555934.503625989</v>
      </c>
      <c r="M182" s="37">
        <f t="shared" si="67"/>
        <v>86.825000000000045</v>
      </c>
      <c r="N182" s="23">
        <f t="shared" si="68"/>
        <v>67.869252650387125</v>
      </c>
      <c r="O182" s="57">
        <f t="shared" si="56"/>
        <v>86.825000000000045</v>
      </c>
      <c r="P182" s="66">
        <f>MAX(I182*1000/'Calculation Constants'!$B$14,O182*10*I182*1000/2/('Calculation Constants'!$B$12*1000*'Calculation Constants'!$B$13))</f>
        <v>11.25</v>
      </c>
      <c r="Q182" s="68">
        <f t="shared" si="57"/>
        <v>992548.40161508287</v>
      </c>
      <c r="R182" s="27">
        <f>(1/(2*LOG(3.7*$I182/'Calculation Constants'!$B$2*1000)))^2</f>
        <v>8.7463077071963571E-3</v>
      </c>
      <c r="S182" s="19">
        <f t="shared" si="69"/>
        <v>1.2752477269849725</v>
      </c>
      <c r="T182" s="19">
        <f>IF($H182&gt;0,'Calculation Constants'!$B$9*Hydraulics!$K182^2/2/9.81/MAX($F$4:$F$253)*$H182,"")</f>
        <v>7.8734226558858159E-2</v>
      </c>
      <c r="U182" s="19">
        <f t="shared" si="70"/>
        <v>1.3539819535438307</v>
      </c>
      <c r="V182" s="19">
        <f t="shared" si="58"/>
        <v>0</v>
      </c>
      <c r="W182" s="19">
        <f t="shared" si="59"/>
        <v>67.869252650387125</v>
      </c>
      <c r="X182" s="23">
        <f t="shared" si="71"/>
        <v>1127.4492526503871</v>
      </c>
      <c r="Y182" s="22">
        <f>(1/(2*LOG(3.7*$I182/'Calculation Constants'!$B$3*1000)))^2</f>
        <v>9.8211436332891755E-3</v>
      </c>
      <c r="Z182" s="19">
        <f t="shared" si="60"/>
        <v>1.431963236834217</v>
      </c>
      <c r="AA182" s="19">
        <f>IF($H182&gt;0,'Calculation Constants'!$B$9*Hydraulics!$K182^2/2/9.81/MAX($F$4:$F$253)*$H182,"")</f>
        <v>7.8734226558858159E-2</v>
      </c>
      <c r="AB182" s="19">
        <f t="shared" si="82"/>
        <v>1.5106974633930752</v>
      </c>
      <c r="AC182" s="19">
        <f t="shared" si="61"/>
        <v>0</v>
      </c>
      <c r="AD182" s="19">
        <f t="shared" si="72"/>
        <v>65.675235512495647</v>
      </c>
      <c r="AE182" s="23">
        <f t="shared" si="73"/>
        <v>1125.2552355124956</v>
      </c>
      <c r="AF182" s="27">
        <f>(1/(2*LOG(3.7*$I182/'Calculation Constants'!$B$4*1000)))^2</f>
        <v>1.1575055557914658E-2</v>
      </c>
      <c r="AG182" s="19">
        <f t="shared" si="62"/>
        <v>1.6876908272744866</v>
      </c>
      <c r="AH182" s="19">
        <f>IF($H182&gt;0,'Calculation Constants'!$B$9*Hydraulics!$K182^2/2/9.81/MAX($F$4:$F$253)*$H182,"")</f>
        <v>7.8734226558858159E-2</v>
      </c>
      <c r="AI182" s="19">
        <f t="shared" si="74"/>
        <v>1.7664250538333448</v>
      </c>
      <c r="AJ182" s="19">
        <f t="shared" si="63"/>
        <v>0</v>
      </c>
      <c r="AK182" s="19">
        <f t="shared" si="75"/>
        <v>62.095049246334611</v>
      </c>
      <c r="AL182" s="23">
        <f t="shared" si="76"/>
        <v>1121.6750492463345</v>
      </c>
      <c r="AM182" s="22">
        <f>(1/(2*LOG(3.7*($I182-0.008)/'Calculation Constants'!$B$5*1000)))^2</f>
        <v>1.4709705891825043E-2</v>
      </c>
      <c r="AN182" s="19">
        <f t="shared" si="77"/>
        <v>2.1543104841910781</v>
      </c>
      <c r="AO182" s="19">
        <f>IF($H182&gt;0,'Calculation Constants'!$B$9*Hydraulics!$K182^2/2/9.81/MAX($F$4:$F$253)*$H182,"")</f>
        <v>7.8734226558858159E-2</v>
      </c>
      <c r="AP182" s="19">
        <f t="shared" si="78"/>
        <v>2.2330447107499363</v>
      </c>
      <c r="AQ182" s="19">
        <f t="shared" si="64"/>
        <v>0</v>
      </c>
      <c r="AR182" s="19">
        <f t="shared" si="79"/>
        <v>55.562374049500932</v>
      </c>
      <c r="AS182" s="23">
        <f t="shared" si="80"/>
        <v>1115.1423740495009</v>
      </c>
    </row>
    <row r="183" spans="5:45">
      <c r="E183" s="35" t="str">
        <f t="shared" si="65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1"/>
        <v>2</v>
      </c>
      <c r="I183" s="19">
        <v>1.8</v>
      </c>
      <c r="J183" s="36">
        <f>'Flow Rate Calculations'!$B$7</f>
        <v>4.0831050228310497</v>
      </c>
      <c r="K183" s="36">
        <f t="shared" si="66"/>
        <v>1.6045588828318709</v>
      </c>
      <c r="L183" s="37">
        <f>$I183*$K183/'Calculation Constants'!$B$7</f>
        <v>2555934.503625989</v>
      </c>
      <c r="M183" s="37">
        <f t="shared" si="67"/>
        <v>91.120999999999867</v>
      </c>
      <c r="N183" s="23">
        <f t="shared" si="68"/>
        <v>70.811270696843167</v>
      </c>
      <c r="O183" s="57">
        <f t="shared" si="56"/>
        <v>91.120999999999867</v>
      </c>
      <c r="P183" s="66">
        <f>MAX(I183*1000/'Calculation Constants'!$B$14,O183*10*I183*1000/2/('Calculation Constants'!$B$12*1000*'Calculation Constants'!$B$13))</f>
        <v>11.25</v>
      </c>
      <c r="Q183" s="68">
        <f t="shared" si="57"/>
        <v>992548.40161508287</v>
      </c>
      <c r="R183" s="27">
        <f>(1/(2*LOG(3.7*$I183/'Calculation Constants'!$B$2*1000)))^2</f>
        <v>8.7463077071963571E-3</v>
      </c>
      <c r="S183" s="19">
        <f t="shared" si="69"/>
        <v>1.2752477269849725</v>
      </c>
      <c r="T183" s="19">
        <f>IF($H183&gt;0,'Calculation Constants'!$B$9*Hydraulics!$K183^2/2/9.81/MAX($F$4:$F$253)*$H183,"")</f>
        <v>7.8734226558858159E-2</v>
      </c>
      <c r="U183" s="19">
        <f t="shared" si="70"/>
        <v>1.3539819535438307</v>
      </c>
      <c r="V183" s="19">
        <f t="shared" si="58"/>
        <v>0</v>
      </c>
      <c r="W183" s="19">
        <f t="shared" si="59"/>
        <v>70.811270696843167</v>
      </c>
      <c r="X183" s="23">
        <f t="shared" si="71"/>
        <v>1126.0952706968433</v>
      </c>
      <c r="Y183" s="22">
        <f>(1/(2*LOG(3.7*$I183/'Calculation Constants'!$B$3*1000)))^2</f>
        <v>9.8211436332891755E-3</v>
      </c>
      <c r="Z183" s="19">
        <f t="shared" si="60"/>
        <v>1.431963236834217</v>
      </c>
      <c r="AA183" s="19">
        <f>IF($H183&gt;0,'Calculation Constants'!$B$9*Hydraulics!$K183^2/2/9.81/MAX($F$4:$F$253)*$H183,"")</f>
        <v>7.8734226558858159E-2</v>
      </c>
      <c r="AB183" s="19">
        <f t="shared" si="82"/>
        <v>1.5106974633930752</v>
      </c>
      <c r="AC183" s="19">
        <f t="shared" si="61"/>
        <v>0</v>
      </c>
      <c r="AD183" s="19">
        <f t="shared" si="72"/>
        <v>68.460538049102297</v>
      </c>
      <c r="AE183" s="23">
        <f t="shared" si="73"/>
        <v>1123.7445380491024</v>
      </c>
      <c r="AF183" s="27">
        <f>(1/(2*LOG(3.7*$I183/'Calculation Constants'!$B$4*1000)))^2</f>
        <v>1.1575055557914658E-2</v>
      </c>
      <c r="AG183" s="19">
        <f t="shared" si="62"/>
        <v>1.6876908272744866</v>
      </c>
      <c r="AH183" s="19">
        <f>IF($H183&gt;0,'Calculation Constants'!$B$9*Hydraulics!$K183^2/2/9.81/MAX($F$4:$F$253)*$H183,"")</f>
        <v>7.8734226558858159E-2</v>
      </c>
      <c r="AI183" s="19">
        <f t="shared" si="74"/>
        <v>1.7664250538333448</v>
      </c>
      <c r="AJ183" s="19">
        <f t="shared" si="63"/>
        <v>0</v>
      </c>
      <c r="AK183" s="19">
        <f t="shared" si="75"/>
        <v>64.624624192501187</v>
      </c>
      <c r="AL183" s="23">
        <f t="shared" si="76"/>
        <v>1119.9086241925013</v>
      </c>
      <c r="AM183" s="22">
        <f>(1/(2*LOG(3.7*($I183-0.008)/'Calculation Constants'!$B$5*1000)))^2</f>
        <v>1.4709705891825043E-2</v>
      </c>
      <c r="AN183" s="19">
        <f t="shared" si="77"/>
        <v>2.1543104841910781</v>
      </c>
      <c r="AO183" s="19">
        <f>IF($H183&gt;0,'Calculation Constants'!$B$9*Hydraulics!$K183^2/2/9.81/MAX($F$4:$F$253)*$H183,"")</f>
        <v>7.8734226558858159E-2</v>
      </c>
      <c r="AP183" s="19">
        <f t="shared" si="78"/>
        <v>2.2330447107499363</v>
      </c>
      <c r="AQ183" s="19">
        <f t="shared" si="64"/>
        <v>0</v>
      </c>
      <c r="AR183" s="19">
        <f t="shared" si="79"/>
        <v>57.625329338750817</v>
      </c>
      <c r="AS183" s="23">
        <f t="shared" si="80"/>
        <v>1112.9093293387509</v>
      </c>
    </row>
    <row r="184" spans="5:45">
      <c r="E184" s="35" t="str">
        <f t="shared" si="65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1"/>
        <v>2</v>
      </c>
      <c r="I184" s="19">
        <v>1.8</v>
      </c>
      <c r="J184" s="36">
        <f>'Flow Rate Calculations'!$B$7</f>
        <v>4.0831050228310497</v>
      </c>
      <c r="K184" s="36">
        <f t="shared" si="66"/>
        <v>1.6045588828318709</v>
      </c>
      <c r="L184" s="37">
        <f>$I184*$K184/'Calculation Constants'!$B$7</f>
        <v>2555934.503625989</v>
      </c>
      <c r="M184" s="37">
        <f t="shared" si="67"/>
        <v>95.519000000000005</v>
      </c>
      <c r="N184" s="23">
        <f t="shared" si="68"/>
        <v>73.855288743299525</v>
      </c>
      <c r="O184" s="57">
        <f t="shared" si="56"/>
        <v>95.519000000000005</v>
      </c>
      <c r="P184" s="66">
        <f>MAX(I184*1000/'Calculation Constants'!$B$14,O184*10*I184*1000/2/('Calculation Constants'!$B$12*1000*'Calculation Constants'!$B$13))</f>
        <v>11.25</v>
      </c>
      <c r="Q184" s="68">
        <f t="shared" si="57"/>
        <v>992548.40161508287</v>
      </c>
      <c r="R184" s="27">
        <f>(1/(2*LOG(3.7*$I184/'Calculation Constants'!$B$2*1000)))^2</f>
        <v>8.7463077071963571E-3</v>
      </c>
      <c r="S184" s="19">
        <f t="shared" si="69"/>
        <v>1.2752477269849725</v>
      </c>
      <c r="T184" s="19">
        <f>IF($H184&gt;0,'Calculation Constants'!$B$9*Hydraulics!$K184^2/2/9.81/MAX($F$4:$F$253)*$H184,"")</f>
        <v>7.8734226558858159E-2</v>
      </c>
      <c r="U184" s="19">
        <f t="shared" si="70"/>
        <v>1.3539819535438307</v>
      </c>
      <c r="V184" s="19">
        <f t="shared" si="58"/>
        <v>0</v>
      </c>
      <c r="W184" s="19">
        <f t="shared" si="59"/>
        <v>73.855288743299525</v>
      </c>
      <c r="X184" s="23">
        <f t="shared" si="71"/>
        <v>1124.7412887432995</v>
      </c>
      <c r="Y184" s="22">
        <f>(1/(2*LOG(3.7*$I184/'Calculation Constants'!$B$3*1000)))^2</f>
        <v>9.8211436332891755E-3</v>
      </c>
      <c r="Z184" s="19">
        <f t="shared" si="60"/>
        <v>1.431963236834217</v>
      </c>
      <c r="AA184" s="19">
        <f>IF($H184&gt;0,'Calculation Constants'!$B$9*Hydraulics!$K184^2/2/9.81/MAX($F$4:$F$253)*$H184,"")</f>
        <v>7.8734226558858159E-2</v>
      </c>
      <c r="AB184" s="19">
        <f t="shared" si="82"/>
        <v>1.5106974633930752</v>
      </c>
      <c r="AC184" s="19">
        <f t="shared" si="61"/>
        <v>0</v>
      </c>
      <c r="AD184" s="19">
        <f t="shared" si="72"/>
        <v>71.347840585709264</v>
      </c>
      <c r="AE184" s="23">
        <f t="shared" si="73"/>
        <v>1122.2338405857092</v>
      </c>
      <c r="AF184" s="27">
        <f>(1/(2*LOG(3.7*$I184/'Calculation Constants'!$B$4*1000)))^2</f>
        <v>1.1575055557914658E-2</v>
      </c>
      <c r="AG184" s="19">
        <f t="shared" si="62"/>
        <v>1.6876908272744866</v>
      </c>
      <c r="AH184" s="19">
        <f>IF($H184&gt;0,'Calculation Constants'!$B$9*Hydraulics!$K184^2/2/9.81/MAX($F$4:$F$253)*$H184,"")</f>
        <v>7.8734226558858159E-2</v>
      </c>
      <c r="AI184" s="19">
        <f t="shared" si="74"/>
        <v>1.7664250538333448</v>
      </c>
      <c r="AJ184" s="19">
        <f t="shared" si="63"/>
        <v>0</v>
      </c>
      <c r="AK184" s="19">
        <f t="shared" si="75"/>
        <v>67.25619913866808</v>
      </c>
      <c r="AL184" s="23">
        <f t="shared" si="76"/>
        <v>1118.142199138668</v>
      </c>
      <c r="AM184" s="22">
        <f>(1/(2*LOG(3.7*($I184-0.008)/'Calculation Constants'!$B$5*1000)))^2</f>
        <v>1.4709705891825043E-2</v>
      </c>
      <c r="AN184" s="19">
        <f t="shared" si="77"/>
        <v>2.1543104841910781</v>
      </c>
      <c r="AO184" s="19">
        <f>IF($H184&gt;0,'Calculation Constants'!$B$9*Hydraulics!$K184^2/2/9.81/MAX($F$4:$F$253)*$H184,"")</f>
        <v>7.8734226558858159E-2</v>
      </c>
      <c r="AP184" s="19">
        <f t="shared" si="78"/>
        <v>2.2330447107499363</v>
      </c>
      <c r="AQ184" s="19">
        <f t="shared" si="64"/>
        <v>0</v>
      </c>
      <c r="AR184" s="19">
        <f t="shared" si="79"/>
        <v>59.790284628001018</v>
      </c>
      <c r="AS184" s="23">
        <f t="shared" si="80"/>
        <v>1110.676284628001</v>
      </c>
    </row>
    <row r="185" spans="5:45">
      <c r="E185" s="35" t="str">
        <f t="shared" si="65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1"/>
        <v>2</v>
      </c>
      <c r="I185" s="19">
        <v>1.8</v>
      </c>
      <c r="J185" s="36">
        <f>'Flow Rate Calculations'!$B$7</f>
        <v>4.0831050228310497</v>
      </c>
      <c r="K185" s="36">
        <f t="shared" si="66"/>
        <v>1.6045588828318709</v>
      </c>
      <c r="L185" s="37">
        <f>$I185*$K185/'Calculation Constants'!$B$7</f>
        <v>2555934.503625989</v>
      </c>
      <c r="M185" s="37">
        <f t="shared" si="67"/>
        <v>93.758000000000038</v>
      </c>
      <c r="N185" s="23">
        <f t="shared" si="68"/>
        <v>70.740306789755778</v>
      </c>
      <c r="O185" s="57">
        <f t="shared" si="56"/>
        <v>93.758000000000038</v>
      </c>
      <c r="P185" s="66">
        <f>MAX(I185*1000/'Calculation Constants'!$B$14,O185*10*I185*1000/2/('Calculation Constants'!$B$12*1000*'Calculation Constants'!$B$13))</f>
        <v>11.25</v>
      </c>
      <c r="Q185" s="68">
        <f t="shared" si="57"/>
        <v>992548.40161508287</v>
      </c>
      <c r="R185" s="27">
        <f>(1/(2*LOG(3.7*$I185/'Calculation Constants'!$B$2*1000)))^2</f>
        <v>8.7463077071963571E-3</v>
      </c>
      <c r="S185" s="19">
        <f t="shared" si="69"/>
        <v>1.2752477269849725</v>
      </c>
      <c r="T185" s="19">
        <f>IF($H185&gt;0,'Calculation Constants'!$B$9*Hydraulics!$K185^2/2/9.81/MAX($F$4:$F$253)*$H185,"")</f>
        <v>7.8734226558858159E-2</v>
      </c>
      <c r="U185" s="19">
        <f t="shared" si="70"/>
        <v>1.3539819535438307</v>
      </c>
      <c r="V185" s="19">
        <f t="shared" si="58"/>
        <v>0</v>
      </c>
      <c r="W185" s="19">
        <f t="shared" si="59"/>
        <v>70.740306789755778</v>
      </c>
      <c r="X185" s="23">
        <f t="shared" si="71"/>
        <v>1123.3873067897557</v>
      </c>
      <c r="Y185" s="22">
        <f>(1/(2*LOG(3.7*$I185/'Calculation Constants'!$B$3*1000)))^2</f>
        <v>9.8211436332891755E-3</v>
      </c>
      <c r="Z185" s="19">
        <f t="shared" si="60"/>
        <v>1.431963236834217</v>
      </c>
      <c r="AA185" s="19">
        <f>IF($H185&gt;0,'Calculation Constants'!$B$9*Hydraulics!$K185^2/2/9.81/MAX($F$4:$F$253)*$H185,"")</f>
        <v>7.8734226558858159E-2</v>
      </c>
      <c r="AB185" s="19">
        <f t="shared" si="82"/>
        <v>1.5106974633930752</v>
      </c>
      <c r="AC185" s="19">
        <f t="shared" si="61"/>
        <v>0</v>
      </c>
      <c r="AD185" s="19">
        <f t="shared" si="72"/>
        <v>68.076143122316125</v>
      </c>
      <c r="AE185" s="23">
        <f t="shared" si="73"/>
        <v>1120.7231431223161</v>
      </c>
      <c r="AF185" s="27">
        <f>(1/(2*LOG(3.7*$I185/'Calculation Constants'!$B$4*1000)))^2</f>
        <v>1.1575055557914658E-2</v>
      </c>
      <c r="AG185" s="19">
        <f t="shared" si="62"/>
        <v>1.6876908272744866</v>
      </c>
      <c r="AH185" s="19">
        <f>IF($H185&gt;0,'Calculation Constants'!$B$9*Hydraulics!$K185^2/2/9.81/MAX($F$4:$F$253)*$H185,"")</f>
        <v>7.8734226558858159E-2</v>
      </c>
      <c r="AI185" s="19">
        <f t="shared" si="74"/>
        <v>1.7664250538333448</v>
      </c>
      <c r="AJ185" s="19">
        <f t="shared" si="63"/>
        <v>0</v>
      </c>
      <c r="AK185" s="19">
        <f t="shared" si="75"/>
        <v>63.728774084834868</v>
      </c>
      <c r="AL185" s="23">
        <f t="shared" si="76"/>
        <v>1116.3757740848348</v>
      </c>
      <c r="AM185" s="22">
        <f>(1/(2*LOG(3.7*($I185-0.008)/'Calculation Constants'!$B$5*1000)))^2</f>
        <v>1.4709705891825043E-2</v>
      </c>
      <c r="AN185" s="19">
        <f t="shared" si="77"/>
        <v>2.1543104841910781</v>
      </c>
      <c r="AO185" s="19">
        <f>IF($H185&gt;0,'Calculation Constants'!$B$9*Hydraulics!$K185^2/2/9.81/MAX($F$4:$F$253)*$H185,"")</f>
        <v>7.8734226558858159E-2</v>
      </c>
      <c r="AP185" s="19">
        <f t="shared" si="78"/>
        <v>2.2330447107499363</v>
      </c>
      <c r="AQ185" s="19">
        <f t="shared" si="64"/>
        <v>0</v>
      </c>
      <c r="AR185" s="19">
        <f t="shared" si="79"/>
        <v>55.796239917251114</v>
      </c>
      <c r="AS185" s="23">
        <f t="shared" si="80"/>
        <v>1108.443239917251</v>
      </c>
    </row>
    <row r="186" spans="5:45">
      <c r="E186" s="35" t="str">
        <f t="shared" si="65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1"/>
        <v>2</v>
      </c>
      <c r="I186" s="19">
        <v>1.8</v>
      </c>
      <c r="J186" s="36">
        <f>'Flow Rate Calculations'!$B$7</f>
        <v>4.0831050228310497</v>
      </c>
      <c r="K186" s="36">
        <f t="shared" si="66"/>
        <v>1.6045588828318709</v>
      </c>
      <c r="L186" s="37">
        <f>$I186*$K186/'Calculation Constants'!$B$7</f>
        <v>2555934.503625989</v>
      </c>
      <c r="M186" s="37">
        <f t="shared" si="67"/>
        <v>95.288000000000011</v>
      </c>
      <c r="N186" s="23">
        <f t="shared" si="68"/>
        <v>70.91632483621197</v>
      </c>
      <c r="O186" s="57">
        <f t="shared" si="56"/>
        <v>95.288000000000011</v>
      </c>
      <c r="P186" s="66">
        <f>MAX(I186*1000/'Calculation Constants'!$B$14,O186*10*I186*1000/2/('Calculation Constants'!$B$12*1000*'Calculation Constants'!$B$13))</f>
        <v>11.25</v>
      </c>
      <c r="Q186" s="68">
        <f t="shared" si="57"/>
        <v>992548.40161508287</v>
      </c>
      <c r="R186" s="27">
        <f>(1/(2*LOG(3.7*$I186/'Calculation Constants'!$B$2*1000)))^2</f>
        <v>8.7463077071963571E-3</v>
      </c>
      <c r="S186" s="19">
        <f t="shared" si="69"/>
        <v>1.2752477269849725</v>
      </c>
      <c r="T186" s="19">
        <f>IF($H186&gt;0,'Calculation Constants'!$B$9*Hydraulics!$K186^2/2/9.81/MAX($F$4:$F$253)*$H186,"")</f>
        <v>7.8734226558858159E-2</v>
      </c>
      <c r="U186" s="19">
        <f t="shared" si="70"/>
        <v>1.3539819535438307</v>
      </c>
      <c r="V186" s="19">
        <f t="shared" si="58"/>
        <v>0</v>
      </c>
      <c r="W186" s="19">
        <f t="shared" si="59"/>
        <v>70.91632483621197</v>
      </c>
      <c r="X186" s="23">
        <f t="shared" si="71"/>
        <v>1122.0333248362119</v>
      </c>
      <c r="Y186" s="22">
        <f>(1/(2*LOG(3.7*$I186/'Calculation Constants'!$B$3*1000)))^2</f>
        <v>9.8211436332891755E-3</v>
      </c>
      <c r="Z186" s="19">
        <f t="shared" si="60"/>
        <v>1.431963236834217</v>
      </c>
      <c r="AA186" s="19">
        <f>IF($H186&gt;0,'Calculation Constants'!$B$9*Hydraulics!$K186^2/2/9.81/MAX($F$4:$F$253)*$H186,"")</f>
        <v>7.8734226558858159E-2</v>
      </c>
      <c r="AB186" s="19">
        <f t="shared" si="82"/>
        <v>1.5106974633930752</v>
      </c>
      <c r="AC186" s="19">
        <f t="shared" si="61"/>
        <v>0</v>
      </c>
      <c r="AD186" s="19">
        <f t="shared" si="72"/>
        <v>68.095445658922927</v>
      </c>
      <c r="AE186" s="23">
        <f t="shared" si="73"/>
        <v>1119.2124456589229</v>
      </c>
      <c r="AF186" s="27">
        <f>(1/(2*LOG(3.7*$I186/'Calculation Constants'!$B$4*1000)))^2</f>
        <v>1.1575055557914658E-2</v>
      </c>
      <c r="AG186" s="19">
        <f t="shared" si="62"/>
        <v>1.6876908272744866</v>
      </c>
      <c r="AH186" s="19">
        <f>IF($H186&gt;0,'Calculation Constants'!$B$9*Hydraulics!$K186^2/2/9.81/MAX($F$4:$F$253)*$H186,"")</f>
        <v>7.8734226558858159E-2</v>
      </c>
      <c r="AI186" s="19">
        <f t="shared" si="74"/>
        <v>1.7664250538333448</v>
      </c>
      <c r="AJ186" s="19">
        <f t="shared" si="63"/>
        <v>0</v>
      </c>
      <c r="AK186" s="19">
        <f t="shared" si="75"/>
        <v>63.492349031001595</v>
      </c>
      <c r="AL186" s="23">
        <f t="shared" si="76"/>
        <v>1114.6093490310016</v>
      </c>
      <c r="AM186" s="22">
        <f>(1/(2*LOG(3.7*($I186-0.008)/'Calculation Constants'!$B$5*1000)))^2</f>
        <v>1.4709705891825043E-2</v>
      </c>
      <c r="AN186" s="19">
        <f t="shared" si="77"/>
        <v>2.1543104841910781</v>
      </c>
      <c r="AO186" s="19">
        <f>IF($H186&gt;0,'Calculation Constants'!$B$9*Hydraulics!$K186^2/2/9.81/MAX($F$4:$F$253)*$H186,"")</f>
        <v>7.8734226558858159E-2</v>
      </c>
      <c r="AP186" s="19">
        <f t="shared" si="78"/>
        <v>2.2330447107499363</v>
      </c>
      <c r="AQ186" s="19">
        <f t="shared" si="64"/>
        <v>0</v>
      </c>
      <c r="AR186" s="19">
        <f t="shared" si="79"/>
        <v>55.09319520650115</v>
      </c>
      <c r="AS186" s="23">
        <f t="shared" si="80"/>
        <v>1106.2101952065011</v>
      </c>
    </row>
    <row r="187" spans="5:45">
      <c r="E187" s="35" t="str">
        <f t="shared" si="65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1"/>
        <v>2</v>
      </c>
      <c r="I187" s="19">
        <v>1.8</v>
      </c>
      <c r="J187" s="36">
        <f>'Flow Rate Calculations'!$B$7</f>
        <v>4.0831050228310497</v>
      </c>
      <c r="K187" s="36">
        <f t="shared" si="66"/>
        <v>1.6045588828318709</v>
      </c>
      <c r="L187" s="37">
        <f>$I187*$K187/'Calculation Constants'!$B$7</f>
        <v>2555934.503625989</v>
      </c>
      <c r="M187" s="37">
        <f t="shared" si="67"/>
        <v>98.138999999999896</v>
      </c>
      <c r="N187" s="23">
        <f t="shared" si="68"/>
        <v>72.413342882668076</v>
      </c>
      <c r="O187" s="57">
        <f t="shared" si="56"/>
        <v>98.138999999999896</v>
      </c>
      <c r="P187" s="66">
        <f>MAX(I187*1000/'Calculation Constants'!$B$14,O187*10*I187*1000/2/('Calculation Constants'!$B$12*1000*'Calculation Constants'!$B$13))</f>
        <v>11.25</v>
      </c>
      <c r="Q187" s="68">
        <f t="shared" si="57"/>
        <v>992548.40161508287</v>
      </c>
      <c r="R187" s="27">
        <f>(1/(2*LOG(3.7*$I187/'Calculation Constants'!$B$2*1000)))^2</f>
        <v>8.7463077071963571E-3</v>
      </c>
      <c r="S187" s="19">
        <f t="shared" si="69"/>
        <v>1.2752477269849725</v>
      </c>
      <c r="T187" s="19">
        <f>IF($H187&gt;0,'Calculation Constants'!$B$9*Hydraulics!$K187^2/2/9.81/MAX($F$4:$F$253)*$H187,"")</f>
        <v>7.8734226558858159E-2</v>
      </c>
      <c r="U187" s="19">
        <f t="shared" si="70"/>
        <v>1.3539819535438307</v>
      </c>
      <c r="V187" s="19">
        <f t="shared" si="58"/>
        <v>0</v>
      </c>
      <c r="W187" s="19">
        <f t="shared" si="59"/>
        <v>72.413342882668076</v>
      </c>
      <c r="X187" s="23">
        <f t="shared" si="71"/>
        <v>1120.6793428826682</v>
      </c>
      <c r="Y187" s="22">
        <f>(1/(2*LOG(3.7*$I187/'Calculation Constants'!$B$3*1000)))^2</f>
        <v>9.8211436332891755E-3</v>
      </c>
      <c r="Z187" s="19">
        <f t="shared" si="60"/>
        <v>1.431963236834217</v>
      </c>
      <c r="AA187" s="19">
        <f>IF($H187&gt;0,'Calculation Constants'!$B$9*Hydraulics!$K187^2/2/9.81/MAX($F$4:$F$253)*$H187,"")</f>
        <v>7.8734226558858159E-2</v>
      </c>
      <c r="AB187" s="19">
        <f t="shared" si="82"/>
        <v>1.5106974633930752</v>
      </c>
      <c r="AC187" s="19">
        <f t="shared" si="61"/>
        <v>0</v>
      </c>
      <c r="AD187" s="19">
        <f t="shared" si="72"/>
        <v>69.435748195529641</v>
      </c>
      <c r="AE187" s="23">
        <f t="shared" si="73"/>
        <v>1117.7017481955297</v>
      </c>
      <c r="AF187" s="27">
        <f>(1/(2*LOG(3.7*$I187/'Calculation Constants'!$B$4*1000)))^2</f>
        <v>1.1575055557914658E-2</v>
      </c>
      <c r="AG187" s="19">
        <f t="shared" si="62"/>
        <v>1.6876908272744866</v>
      </c>
      <c r="AH187" s="19">
        <f>IF($H187&gt;0,'Calculation Constants'!$B$9*Hydraulics!$K187^2/2/9.81/MAX($F$4:$F$253)*$H187,"")</f>
        <v>7.8734226558858159E-2</v>
      </c>
      <c r="AI187" s="19">
        <f t="shared" si="74"/>
        <v>1.7664250538333448</v>
      </c>
      <c r="AJ187" s="19">
        <f t="shared" si="63"/>
        <v>0</v>
      </c>
      <c r="AK187" s="19">
        <f t="shared" si="75"/>
        <v>64.576923977168235</v>
      </c>
      <c r="AL187" s="23">
        <f t="shared" si="76"/>
        <v>1112.8429239771683</v>
      </c>
      <c r="AM187" s="22">
        <f>(1/(2*LOG(3.7*($I187-0.008)/'Calculation Constants'!$B$5*1000)))^2</f>
        <v>1.4709705891825043E-2</v>
      </c>
      <c r="AN187" s="19">
        <f t="shared" si="77"/>
        <v>2.1543104841910781</v>
      </c>
      <c r="AO187" s="19">
        <f>IF($H187&gt;0,'Calculation Constants'!$B$9*Hydraulics!$K187^2/2/9.81/MAX($F$4:$F$253)*$H187,"")</f>
        <v>7.8734226558858159E-2</v>
      </c>
      <c r="AP187" s="19">
        <f t="shared" si="78"/>
        <v>2.2330447107499363</v>
      </c>
      <c r="AQ187" s="19">
        <f t="shared" si="64"/>
        <v>0</v>
      </c>
      <c r="AR187" s="19">
        <f t="shared" si="79"/>
        <v>55.711150495751099</v>
      </c>
      <c r="AS187" s="23">
        <f t="shared" si="80"/>
        <v>1103.9771504957512</v>
      </c>
    </row>
    <row r="188" spans="5:45">
      <c r="E188" s="35" t="str">
        <f t="shared" si="65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1"/>
        <v>2</v>
      </c>
      <c r="I188" s="19">
        <v>1.8</v>
      </c>
      <c r="J188" s="36">
        <f>'Flow Rate Calculations'!$B$7</f>
        <v>4.0831050228310497</v>
      </c>
      <c r="K188" s="36">
        <f t="shared" si="66"/>
        <v>1.6045588828318709</v>
      </c>
      <c r="L188" s="37">
        <f>$I188*$K188/'Calculation Constants'!$B$7</f>
        <v>2555934.503625989</v>
      </c>
      <c r="M188" s="37">
        <f t="shared" si="67"/>
        <v>106.23299999999995</v>
      </c>
      <c r="N188" s="23">
        <f t="shared" si="68"/>
        <v>79.153360929124347</v>
      </c>
      <c r="O188" s="57">
        <f t="shared" si="56"/>
        <v>106.23299999999995</v>
      </c>
      <c r="P188" s="66">
        <f>MAX(I188*1000/'Calculation Constants'!$B$14,O188*10*I188*1000/2/('Calculation Constants'!$B$12*1000*'Calculation Constants'!$B$13))</f>
        <v>11.25</v>
      </c>
      <c r="Q188" s="68">
        <f t="shared" si="57"/>
        <v>992548.40161508287</v>
      </c>
      <c r="R188" s="27">
        <f>(1/(2*LOG(3.7*$I188/'Calculation Constants'!$B$2*1000)))^2</f>
        <v>8.7463077071963571E-3</v>
      </c>
      <c r="S188" s="19">
        <f t="shared" si="69"/>
        <v>1.2752477269849725</v>
      </c>
      <c r="T188" s="19">
        <f>IF($H188&gt;0,'Calculation Constants'!$B$9*Hydraulics!$K188^2/2/9.81/MAX($F$4:$F$253)*$H188,"")</f>
        <v>7.8734226558858159E-2</v>
      </c>
      <c r="U188" s="19">
        <f t="shared" si="70"/>
        <v>1.3539819535438307</v>
      </c>
      <c r="V188" s="19">
        <f t="shared" si="58"/>
        <v>0</v>
      </c>
      <c r="W188" s="19">
        <f t="shared" si="59"/>
        <v>79.153360929124347</v>
      </c>
      <c r="X188" s="23">
        <f t="shared" si="71"/>
        <v>1119.3253609291244</v>
      </c>
      <c r="Y188" s="22">
        <f>(1/(2*LOG(3.7*$I188/'Calculation Constants'!$B$3*1000)))^2</f>
        <v>9.8211436332891755E-3</v>
      </c>
      <c r="Z188" s="19">
        <f t="shared" si="60"/>
        <v>1.431963236834217</v>
      </c>
      <c r="AA188" s="19">
        <f>IF($H188&gt;0,'Calculation Constants'!$B$9*Hydraulics!$K188^2/2/9.81/MAX($F$4:$F$253)*$H188,"")</f>
        <v>7.8734226558858159E-2</v>
      </c>
      <c r="AB188" s="19">
        <f t="shared" si="82"/>
        <v>1.5106974633930752</v>
      </c>
      <c r="AC188" s="19">
        <f t="shared" si="61"/>
        <v>0</v>
      </c>
      <c r="AD188" s="19">
        <f t="shared" si="72"/>
        <v>76.01905073213652</v>
      </c>
      <c r="AE188" s="23">
        <f t="shared" si="73"/>
        <v>1116.1910507321365</v>
      </c>
      <c r="AF188" s="27">
        <f>(1/(2*LOG(3.7*$I188/'Calculation Constants'!$B$4*1000)))^2</f>
        <v>1.1575055557914658E-2</v>
      </c>
      <c r="AG188" s="19">
        <f t="shared" si="62"/>
        <v>1.6876908272744866</v>
      </c>
      <c r="AH188" s="19">
        <f>IF($H188&gt;0,'Calculation Constants'!$B$9*Hydraulics!$K188^2/2/9.81/MAX($F$4:$F$253)*$H188,"")</f>
        <v>7.8734226558858159E-2</v>
      </c>
      <c r="AI188" s="19">
        <f t="shared" si="74"/>
        <v>1.7664250538333448</v>
      </c>
      <c r="AJ188" s="19">
        <f t="shared" si="63"/>
        <v>0</v>
      </c>
      <c r="AK188" s="19">
        <f t="shared" si="75"/>
        <v>70.904498923335041</v>
      </c>
      <c r="AL188" s="23">
        <f t="shared" si="76"/>
        <v>1111.0764989233351</v>
      </c>
      <c r="AM188" s="22">
        <f>(1/(2*LOG(3.7*($I188-0.008)/'Calculation Constants'!$B$5*1000)))^2</f>
        <v>1.4709705891825043E-2</v>
      </c>
      <c r="AN188" s="19">
        <f t="shared" si="77"/>
        <v>2.1543104841910781</v>
      </c>
      <c r="AO188" s="19">
        <f>IF($H188&gt;0,'Calculation Constants'!$B$9*Hydraulics!$K188^2/2/9.81/MAX($F$4:$F$253)*$H188,"")</f>
        <v>7.8734226558858159E-2</v>
      </c>
      <c r="AP188" s="19">
        <f t="shared" si="78"/>
        <v>2.2330447107499363</v>
      </c>
      <c r="AQ188" s="19">
        <f t="shared" si="64"/>
        <v>0</v>
      </c>
      <c r="AR188" s="19">
        <f t="shared" si="79"/>
        <v>61.572105785001213</v>
      </c>
      <c r="AS188" s="23">
        <f t="shared" si="80"/>
        <v>1101.7441057850012</v>
      </c>
    </row>
    <row r="189" spans="5:45">
      <c r="E189" s="35" t="str">
        <f t="shared" si="65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1"/>
        <v>2</v>
      </c>
      <c r="I189" s="19">
        <v>1.8</v>
      </c>
      <c r="J189" s="36">
        <f>'Flow Rate Calculations'!$B$7</f>
        <v>4.0831050228310497</v>
      </c>
      <c r="K189" s="36">
        <f t="shared" si="66"/>
        <v>1.6045588828318709</v>
      </c>
      <c r="L189" s="37">
        <f>$I189*$K189/'Calculation Constants'!$B$7</f>
        <v>2555934.503625989</v>
      </c>
      <c r="M189" s="37">
        <f t="shared" si="67"/>
        <v>112.92200000000003</v>
      </c>
      <c r="N189" s="23">
        <f t="shared" si="68"/>
        <v>84.488378975580645</v>
      </c>
      <c r="O189" s="57">
        <f t="shared" si="56"/>
        <v>112.92200000000003</v>
      </c>
      <c r="P189" s="66">
        <f>MAX(I189*1000/'Calculation Constants'!$B$14,O189*10*I189*1000/2/('Calculation Constants'!$B$12*1000*'Calculation Constants'!$B$13))</f>
        <v>11.25</v>
      </c>
      <c r="Q189" s="68">
        <f t="shared" si="57"/>
        <v>992548.40161508287</v>
      </c>
      <c r="R189" s="27">
        <f>(1/(2*LOG(3.7*$I189/'Calculation Constants'!$B$2*1000)))^2</f>
        <v>8.7463077071963571E-3</v>
      </c>
      <c r="S189" s="19">
        <f t="shared" si="69"/>
        <v>1.2752477269849725</v>
      </c>
      <c r="T189" s="19">
        <f>IF($H189&gt;0,'Calculation Constants'!$B$9*Hydraulics!$K189^2/2/9.81/MAX($F$4:$F$253)*$H189,"")</f>
        <v>7.8734226558858159E-2</v>
      </c>
      <c r="U189" s="19">
        <f t="shared" si="70"/>
        <v>1.3539819535438307</v>
      </c>
      <c r="V189" s="19">
        <f t="shared" si="58"/>
        <v>0</v>
      </c>
      <c r="W189" s="19">
        <f t="shared" si="59"/>
        <v>84.488378975580645</v>
      </c>
      <c r="X189" s="23">
        <f t="shared" si="71"/>
        <v>1117.9713789755806</v>
      </c>
      <c r="Y189" s="22">
        <f>(1/(2*LOG(3.7*$I189/'Calculation Constants'!$B$3*1000)))^2</f>
        <v>9.8211436332891755E-3</v>
      </c>
      <c r="Z189" s="19">
        <f t="shared" si="60"/>
        <v>1.431963236834217</v>
      </c>
      <c r="AA189" s="19">
        <f>IF($H189&gt;0,'Calculation Constants'!$B$9*Hydraulics!$K189^2/2/9.81/MAX($F$4:$F$253)*$H189,"")</f>
        <v>7.8734226558858159E-2</v>
      </c>
      <c r="AB189" s="19">
        <f t="shared" si="82"/>
        <v>1.5106974633930752</v>
      </c>
      <c r="AC189" s="19">
        <f t="shared" si="61"/>
        <v>0</v>
      </c>
      <c r="AD189" s="19">
        <f t="shared" si="72"/>
        <v>81.197353268743427</v>
      </c>
      <c r="AE189" s="23">
        <f t="shared" si="73"/>
        <v>1114.6803532687434</v>
      </c>
      <c r="AF189" s="27">
        <f>(1/(2*LOG(3.7*$I189/'Calculation Constants'!$B$4*1000)))^2</f>
        <v>1.1575055557914658E-2</v>
      </c>
      <c r="AG189" s="19">
        <f t="shared" si="62"/>
        <v>1.6876908272744866</v>
      </c>
      <c r="AH189" s="19">
        <f>IF($H189&gt;0,'Calculation Constants'!$B$9*Hydraulics!$K189^2/2/9.81/MAX($F$4:$F$253)*$H189,"")</f>
        <v>7.8734226558858159E-2</v>
      </c>
      <c r="AI189" s="19">
        <f t="shared" si="74"/>
        <v>1.7664250538333448</v>
      </c>
      <c r="AJ189" s="19">
        <f t="shared" si="63"/>
        <v>0</v>
      </c>
      <c r="AK189" s="19">
        <f t="shared" si="75"/>
        <v>75.827073869501874</v>
      </c>
      <c r="AL189" s="23">
        <f t="shared" si="76"/>
        <v>1109.3100738695018</v>
      </c>
      <c r="AM189" s="22">
        <f>(1/(2*LOG(3.7*($I189-0.008)/'Calculation Constants'!$B$5*1000)))^2</f>
        <v>1.4709705891825043E-2</v>
      </c>
      <c r="AN189" s="19">
        <f t="shared" si="77"/>
        <v>2.1543104841910781</v>
      </c>
      <c r="AO189" s="19">
        <f>IF($H189&gt;0,'Calculation Constants'!$B$9*Hydraulics!$K189^2/2/9.81/MAX($F$4:$F$253)*$H189,"")</f>
        <v>7.8734226558858159E-2</v>
      </c>
      <c r="AP189" s="19">
        <f t="shared" si="78"/>
        <v>2.2330447107499363</v>
      </c>
      <c r="AQ189" s="19">
        <f t="shared" si="64"/>
        <v>0</v>
      </c>
      <c r="AR189" s="19">
        <f t="shared" si="79"/>
        <v>66.028061074251355</v>
      </c>
      <c r="AS189" s="23">
        <f t="shared" si="80"/>
        <v>1099.5110610742513</v>
      </c>
    </row>
    <row r="190" spans="5:45">
      <c r="E190" s="35" t="str">
        <f t="shared" si="65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1"/>
        <v>2</v>
      </c>
      <c r="I190" s="19">
        <v>1.8</v>
      </c>
      <c r="J190" s="36">
        <f>'Flow Rate Calculations'!$B$7</f>
        <v>4.0831050228310497</v>
      </c>
      <c r="K190" s="36">
        <f t="shared" si="66"/>
        <v>1.6045588828318709</v>
      </c>
      <c r="L190" s="37">
        <f>$I190*$K190/'Calculation Constants'!$B$7</f>
        <v>2555934.503625989</v>
      </c>
      <c r="M190" s="37">
        <f t="shared" si="67"/>
        <v>115.45499999999993</v>
      </c>
      <c r="N190" s="23">
        <f t="shared" si="68"/>
        <v>85.667397022036766</v>
      </c>
      <c r="O190" s="57">
        <f t="shared" si="56"/>
        <v>115.45499999999993</v>
      </c>
      <c r="P190" s="66">
        <f>MAX(I190*1000/'Calculation Constants'!$B$14,O190*10*I190*1000/2/('Calculation Constants'!$B$12*1000*'Calculation Constants'!$B$13))</f>
        <v>11.25</v>
      </c>
      <c r="Q190" s="68">
        <f t="shared" si="57"/>
        <v>992548.40161508287</v>
      </c>
      <c r="R190" s="27">
        <f>(1/(2*LOG(3.7*$I190/'Calculation Constants'!$B$2*1000)))^2</f>
        <v>8.7463077071963571E-3</v>
      </c>
      <c r="S190" s="19">
        <f t="shared" si="69"/>
        <v>1.2752477269849725</v>
      </c>
      <c r="T190" s="19">
        <f>IF($H190&gt;0,'Calculation Constants'!$B$9*Hydraulics!$K190^2/2/9.81/MAX($F$4:$F$253)*$H190,"")</f>
        <v>7.8734226558858159E-2</v>
      </c>
      <c r="U190" s="19">
        <f t="shared" si="70"/>
        <v>1.3539819535438307</v>
      </c>
      <c r="V190" s="19">
        <f t="shared" si="58"/>
        <v>0</v>
      </c>
      <c r="W190" s="19">
        <f t="shared" si="59"/>
        <v>85.667397022036766</v>
      </c>
      <c r="X190" s="23">
        <f t="shared" si="71"/>
        <v>1116.6173970220368</v>
      </c>
      <c r="Y190" s="22">
        <f>(1/(2*LOG(3.7*$I190/'Calculation Constants'!$B$3*1000)))^2</f>
        <v>9.8211436332891755E-3</v>
      </c>
      <c r="Z190" s="19">
        <f t="shared" si="60"/>
        <v>1.431963236834217</v>
      </c>
      <c r="AA190" s="19">
        <f>IF($H190&gt;0,'Calculation Constants'!$B$9*Hydraulics!$K190^2/2/9.81/MAX($F$4:$F$253)*$H190,"")</f>
        <v>7.8734226558858159E-2</v>
      </c>
      <c r="AB190" s="19">
        <f t="shared" si="82"/>
        <v>1.5106974633930752</v>
      </c>
      <c r="AC190" s="19">
        <f t="shared" si="61"/>
        <v>0</v>
      </c>
      <c r="AD190" s="19">
        <f t="shared" si="72"/>
        <v>82.219655805350158</v>
      </c>
      <c r="AE190" s="23">
        <f t="shared" si="73"/>
        <v>1113.1696558053502</v>
      </c>
      <c r="AF190" s="27">
        <f>(1/(2*LOG(3.7*$I190/'Calculation Constants'!$B$4*1000)))^2</f>
        <v>1.1575055557914658E-2</v>
      </c>
      <c r="AG190" s="19">
        <f t="shared" si="62"/>
        <v>1.6876908272744866</v>
      </c>
      <c r="AH190" s="19">
        <f>IF($H190&gt;0,'Calculation Constants'!$B$9*Hydraulics!$K190^2/2/9.81/MAX($F$4:$F$253)*$H190,"")</f>
        <v>7.8734226558858159E-2</v>
      </c>
      <c r="AI190" s="19">
        <f t="shared" si="74"/>
        <v>1.7664250538333448</v>
      </c>
      <c r="AJ190" s="19">
        <f t="shared" si="63"/>
        <v>0</v>
      </c>
      <c r="AK190" s="19">
        <f t="shared" si="75"/>
        <v>76.59364881566853</v>
      </c>
      <c r="AL190" s="23">
        <f t="shared" si="76"/>
        <v>1107.5436488156686</v>
      </c>
      <c r="AM190" s="22">
        <f>(1/(2*LOG(3.7*($I190-0.008)/'Calculation Constants'!$B$5*1000)))^2</f>
        <v>1.4709705891825043E-2</v>
      </c>
      <c r="AN190" s="19">
        <f t="shared" si="77"/>
        <v>2.1543104841910781</v>
      </c>
      <c r="AO190" s="19">
        <f>IF($H190&gt;0,'Calculation Constants'!$B$9*Hydraulics!$K190^2/2/9.81/MAX($F$4:$F$253)*$H190,"")</f>
        <v>7.8734226558858159E-2</v>
      </c>
      <c r="AP190" s="19">
        <f t="shared" si="78"/>
        <v>2.2330447107499363</v>
      </c>
      <c r="AQ190" s="19">
        <f t="shared" si="64"/>
        <v>0</v>
      </c>
      <c r="AR190" s="19">
        <f t="shared" si="79"/>
        <v>66.32801636350132</v>
      </c>
      <c r="AS190" s="23">
        <f t="shared" si="80"/>
        <v>1097.2780163635014</v>
      </c>
    </row>
    <row r="191" spans="5:45">
      <c r="E191" s="35" t="str">
        <f t="shared" si="65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1"/>
        <v>2</v>
      </c>
      <c r="I191" s="19">
        <v>1.8</v>
      </c>
      <c r="J191" s="36">
        <f>'Flow Rate Calculations'!$B$7</f>
        <v>4.0831050228310497</v>
      </c>
      <c r="K191" s="36">
        <f t="shared" si="66"/>
        <v>1.6045588828318709</v>
      </c>
      <c r="L191" s="37">
        <f>$I191*$K191/'Calculation Constants'!$B$7</f>
        <v>2555934.503625989</v>
      </c>
      <c r="M191" s="37">
        <f t="shared" si="67"/>
        <v>114.14200000000005</v>
      </c>
      <c r="N191" s="23">
        <f t="shared" si="68"/>
        <v>83.000415068493112</v>
      </c>
      <c r="O191" s="57">
        <f t="shared" si="56"/>
        <v>114.14200000000005</v>
      </c>
      <c r="P191" s="66">
        <f>MAX(I191*1000/'Calculation Constants'!$B$14,O191*10*I191*1000/2/('Calculation Constants'!$B$12*1000*'Calculation Constants'!$B$13))</f>
        <v>11.25</v>
      </c>
      <c r="Q191" s="68">
        <f t="shared" si="57"/>
        <v>992548.40161508287</v>
      </c>
      <c r="R191" s="27">
        <f>(1/(2*LOG(3.7*$I191/'Calculation Constants'!$B$2*1000)))^2</f>
        <v>8.7463077071963571E-3</v>
      </c>
      <c r="S191" s="19">
        <f t="shared" si="69"/>
        <v>1.2752477269849725</v>
      </c>
      <c r="T191" s="19">
        <f>IF($H191&gt;0,'Calculation Constants'!$B$9*Hydraulics!$K191^2/2/9.81/MAX($F$4:$F$253)*$H191,"")</f>
        <v>7.8734226558858159E-2</v>
      </c>
      <c r="U191" s="19">
        <f t="shared" si="70"/>
        <v>1.3539819535438307</v>
      </c>
      <c r="V191" s="19">
        <f t="shared" si="58"/>
        <v>0</v>
      </c>
      <c r="W191" s="19">
        <f t="shared" si="59"/>
        <v>83.000415068493112</v>
      </c>
      <c r="X191" s="23">
        <f t="shared" si="71"/>
        <v>1115.263415068493</v>
      </c>
      <c r="Y191" s="22">
        <f>(1/(2*LOG(3.7*$I191/'Calculation Constants'!$B$3*1000)))^2</f>
        <v>9.8211436332891755E-3</v>
      </c>
      <c r="Z191" s="19">
        <f t="shared" si="60"/>
        <v>1.431963236834217</v>
      </c>
      <c r="AA191" s="19">
        <f>IF($H191&gt;0,'Calculation Constants'!$B$9*Hydraulics!$K191^2/2/9.81/MAX($F$4:$F$253)*$H191,"")</f>
        <v>7.8734226558858159E-2</v>
      </c>
      <c r="AB191" s="19">
        <f t="shared" si="82"/>
        <v>1.5106974633930752</v>
      </c>
      <c r="AC191" s="19">
        <f t="shared" si="61"/>
        <v>0</v>
      </c>
      <c r="AD191" s="19">
        <f t="shared" si="72"/>
        <v>79.395958341957112</v>
      </c>
      <c r="AE191" s="23">
        <f t="shared" si="73"/>
        <v>1111.658958341957</v>
      </c>
      <c r="AF191" s="27">
        <f>(1/(2*LOG(3.7*$I191/'Calculation Constants'!$B$4*1000)))^2</f>
        <v>1.1575055557914658E-2</v>
      </c>
      <c r="AG191" s="19">
        <f t="shared" si="62"/>
        <v>1.6876908272744866</v>
      </c>
      <c r="AH191" s="19">
        <f>IF($H191&gt;0,'Calculation Constants'!$B$9*Hydraulics!$K191^2/2/9.81/MAX($F$4:$F$253)*$H191,"")</f>
        <v>7.8734226558858159E-2</v>
      </c>
      <c r="AI191" s="19">
        <f t="shared" si="74"/>
        <v>1.7664250538333448</v>
      </c>
      <c r="AJ191" s="19">
        <f t="shared" si="63"/>
        <v>0</v>
      </c>
      <c r="AK191" s="19">
        <f t="shared" si="75"/>
        <v>73.51422376183541</v>
      </c>
      <c r="AL191" s="23">
        <f t="shared" si="76"/>
        <v>1105.7772237618353</v>
      </c>
      <c r="AM191" s="22">
        <f>(1/(2*LOG(3.7*($I191-0.008)/'Calculation Constants'!$B$5*1000)))^2</f>
        <v>1.4709705891825043E-2</v>
      </c>
      <c r="AN191" s="19">
        <f t="shared" si="77"/>
        <v>2.1543104841910781</v>
      </c>
      <c r="AO191" s="19">
        <f>IF($H191&gt;0,'Calculation Constants'!$B$9*Hydraulics!$K191^2/2/9.81/MAX($F$4:$F$253)*$H191,"")</f>
        <v>7.8734226558858159E-2</v>
      </c>
      <c r="AP191" s="19">
        <f t="shared" si="78"/>
        <v>2.2330447107499363</v>
      </c>
      <c r="AQ191" s="19">
        <f t="shared" si="64"/>
        <v>0</v>
      </c>
      <c r="AR191" s="19">
        <f t="shared" si="79"/>
        <v>62.781971652751508</v>
      </c>
      <c r="AS191" s="23">
        <f t="shared" si="80"/>
        <v>1095.0449716527514</v>
      </c>
    </row>
    <row r="192" spans="5:45">
      <c r="E192" s="35" t="str">
        <f t="shared" si="65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1"/>
        <v>2</v>
      </c>
      <c r="I192" s="19">
        <v>1.8</v>
      </c>
      <c r="J192" s="36">
        <f>'Flow Rate Calculations'!$B$7</f>
        <v>4.0831050228310497</v>
      </c>
      <c r="K192" s="36">
        <f t="shared" si="66"/>
        <v>1.6045588828318709</v>
      </c>
      <c r="L192" s="37">
        <f>$I192*$K192/'Calculation Constants'!$B$7</f>
        <v>2555934.503625989</v>
      </c>
      <c r="M192" s="37">
        <f t="shared" si="67"/>
        <v>115.0139999999999</v>
      </c>
      <c r="N192" s="23">
        <f t="shared" si="68"/>
        <v>82.518433114949175</v>
      </c>
      <c r="O192" s="57">
        <f t="shared" si="56"/>
        <v>115.0139999999999</v>
      </c>
      <c r="P192" s="66">
        <f>MAX(I192*1000/'Calculation Constants'!$B$14,O192*10*I192*1000/2/('Calculation Constants'!$B$12*1000*'Calculation Constants'!$B$13))</f>
        <v>11.25</v>
      </c>
      <c r="Q192" s="68">
        <f t="shared" si="57"/>
        <v>992548.40161508287</v>
      </c>
      <c r="R192" s="27">
        <f>(1/(2*LOG(3.7*$I192/'Calculation Constants'!$B$2*1000)))^2</f>
        <v>8.7463077071963571E-3</v>
      </c>
      <c r="S192" s="19">
        <f t="shared" si="69"/>
        <v>1.2752477269849725</v>
      </c>
      <c r="T192" s="19">
        <f>IF($H192&gt;0,'Calculation Constants'!$B$9*Hydraulics!$K192^2/2/9.81/MAX($F$4:$F$253)*$H192,"")</f>
        <v>7.8734226558858159E-2</v>
      </c>
      <c r="U192" s="19">
        <f t="shared" si="70"/>
        <v>1.3539819535438307</v>
      </c>
      <c r="V192" s="19">
        <f t="shared" si="58"/>
        <v>0</v>
      </c>
      <c r="W192" s="19">
        <f t="shared" si="59"/>
        <v>82.518433114949175</v>
      </c>
      <c r="X192" s="23">
        <f t="shared" si="71"/>
        <v>1113.9094331149493</v>
      </c>
      <c r="Y192" s="22">
        <f>(1/(2*LOG(3.7*$I192/'Calculation Constants'!$B$3*1000)))^2</f>
        <v>9.8211436332891755E-3</v>
      </c>
      <c r="Z192" s="19">
        <f t="shared" si="60"/>
        <v>1.431963236834217</v>
      </c>
      <c r="AA192" s="19">
        <f>IF($H192&gt;0,'Calculation Constants'!$B$9*Hydraulics!$K192^2/2/9.81/MAX($F$4:$F$253)*$H192,"")</f>
        <v>7.8734226558858159E-2</v>
      </c>
      <c r="AB192" s="19">
        <f t="shared" si="82"/>
        <v>1.5106974633930752</v>
      </c>
      <c r="AC192" s="19">
        <f t="shared" si="61"/>
        <v>0</v>
      </c>
      <c r="AD192" s="19">
        <f t="shared" si="72"/>
        <v>78.757260878563784</v>
      </c>
      <c r="AE192" s="23">
        <f t="shared" si="73"/>
        <v>1110.1482608785639</v>
      </c>
      <c r="AF192" s="27">
        <f>(1/(2*LOG(3.7*$I192/'Calculation Constants'!$B$4*1000)))^2</f>
        <v>1.1575055557914658E-2</v>
      </c>
      <c r="AG192" s="19">
        <f t="shared" si="62"/>
        <v>1.6876908272744866</v>
      </c>
      <c r="AH192" s="19">
        <f>IF($H192&gt;0,'Calculation Constants'!$B$9*Hydraulics!$K192^2/2/9.81/MAX($F$4:$F$253)*$H192,"")</f>
        <v>7.8734226558858159E-2</v>
      </c>
      <c r="AI192" s="19">
        <f t="shared" si="74"/>
        <v>1.7664250538333448</v>
      </c>
      <c r="AJ192" s="19">
        <f t="shared" si="63"/>
        <v>0</v>
      </c>
      <c r="AK192" s="19">
        <f t="shared" si="75"/>
        <v>72.619798708002008</v>
      </c>
      <c r="AL192" s="23">
        <f t="shared" si="76"/>
        <v>1104.0107987080021</v>
      </c>
      <c r="AM192" s="22">
        <f>(1/(2*LOG(3.7*($I192-0.008)/'Calculation Constants'!$B$5*1000)))^2</f>
        <v>1.4709705891825043E-2</v>
      </c>
      <c r="AN192" s="19">
        <f t="shared" si="77"/>
        <v>2.1543104841910781</v>
      </c>
      <c r="AO192" s="19">
        <f>IF($H192&gt;0,'Calculation Constants'!$B$9*Hydraulics!$K192^2/2/9.81/MAX($F$4:$F$253)*$H192,"")</f>
        <v>7.8734226558858159E-2</v>
      </c>
      <c r="AP192" s="19">
        <f t="shared" si="78"/>
        <v>2.2330447107499363</v>
      </c>
      <c r="AQ192" s="19">
        <f t="shared" si="64"/>
        <v>0</v>
      </c>
      <c r="AR192" s="19">
        <f t="shared" si="79"/>
        <v>61.420926942001415</v>
      </c>
      <c r="AS192" s="23">
        <f t="shared" si="80"/>
        <v>1092.8119269420015</v>
      </c>
    </row>
    <row r="193" spans="5:45">
      <c r="E193" s="35" t="str">
        <f t="shared" si="65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1"/>
        <v>2</v>
      </c>
      <c r="I193" s="19">
        <v>1.8</v>
      </c>
      <c r="J193" s="36">
        <f>'Flow Rate Calculations'!$B$7</f>
        <v>4.0831050228310497</v>
      </c>
      <c r="K193" s="36">
        <f t="shared" si="66"/>
        <v>1.6045588828318709</v>
      </c>
      <c r="L193" s="37">
        <f>$I193*$K193/'Calculation Constants'!$B$7</f>
        <v>2555934.503625989</v>
      </c>
      <c r="M193" s="37">
        <f t="shared" si="67"/>
        <v>120.61400000000003</v>
      </c>
      <c r="N193" s="23">
        <f t="shared" si="68"/>
        <v>86.764451161405532</v>
      </c>
      <c r="O193" s="57">
        <f t="shared" si="56"/>
        <v>120.61400000000003</v>
      </c>
      <c r="P193" s="66">
        <f>MAX(I193*1000/'Calculation Constants'!$B$14,O193*10*I193*1000/2/('Calculation Constants'!$B$12*1000*'Calculation Constants'!$B$13))</f>
        <v>11.25</v>
      </c>
      <c r="Q193" s="68">
        <f t="shared" si="57"/>
        <v>992548.40161508287</v>
      </c>
      <c r="R193" s="27">
        <f>(1/(2*LOG(3.7*$I193/'Calculation Constants'!$B$2*1000)))^2</f>
        <v>8.7463077071963571E-3</v>
      </c>
      <c r="S193" s="19">
        <f t="shared" si="69"/>
        <v>1.2752477269849725</v>
      </c>
      <c r="T193" s="19">
        <f>IF($H193&gt;0,'Calculation Constants'!$B$9*Hydraulics!$K193^2/2/9.81/MAX($F$4:$F$253)*$H193,"")</f>
        <v>7.8734226558858159E-2</v>
      </c>
      <c r="U193" s="19">
        <f t="shared" si="70"/>
        <v>1.3539819535438307</v>
      </c>
      <c r="V193" s="19">
        <f t="shared" si="58"/>
        <v>0</v>
      </c>
      <c r="W193" s="19">
        <f t="shared" si="59"/>
        <v>86.764451161405532</v>
      </c>
      <c r="X193" s="23">
        <f t="shared" si="71"/>
        <v>1112.5554511614055</v>
      </c>
      <c r="Y193" s="22">
        <f>(1/(2*LOG(3.7*$I193/'Calculation Constants'!$B$3*1000)))^2</f>
        <v>9.8211436332891755E-3</v>
      </c>
      <c r="Z193" s="19">
        <f t="shared" si="60"/>
        <v>1.431963236834217</v>
      </c>
      <c r="AA193" s="19">
        <f>IF($H193&gt;0,'Calculation Constants'!$B$9*Hydraulics!$K193^2/2/9.81/MAX($F$4:$F$253)*$H193,"")</f>
        <v>7.8734226558858159E-2</v>
      </c>
      <c r="AB193" s="19">
        <f t="shared" si="82"/>
        <v>1.5106974633930752</v>
      </c>
      <c r="AC193" s="19">
        <f t="shared" si="61"/>
        <v>0</v>
      </c>
      <c r="AD193" s="19">
        <f t="shared" si="72"/>
        <v>82.846563415170749</v>
      </c>
      <c r="AE193" s="23">
        <f t="shared" si="73"/>
        <v>1108.6375634151707</v>
      </c>
      <c r="AF193" s="27">
        <f>(1/(2*LOG(3.7*$I193/'Calculation Constants'!$B$4*1000)))^2</f>
        <v>1.1575055557914658E-2</v>
      </c>
      <c r="AG193" s="19">
        <f t="shared" si="62"/>
        <v>1.6876908272744866</v>
      </c>
      <c r="AH193" s="19">
        <f>IF($H193&gt;0,'Calculation Constants'!$B$9*Hydraulics!$K193^2/2/9.81/MAX($F$4:$F$253)*$H193,"")</f>
        <v>7.8734226558858159E-2</v>
      </c>
      <c r="AI193" s="19">
        <f t="shared" si="74"/>
        <v>1.7664250538333448</v>
      </c>
      <c r="AJ193" s="19">
        <f t="shared" si="63"/>
        <v>0</v>
      </c>
      <c r="AK193" s="19">
        <f t="shared" si="75"/>
        <v>76.4533736541689</v>
      </c>
      <c r="AL193" s="23">
        <f t="shared" si="76"/>
        <v>1102.2443736541688</v>
      </c>
      <c r="AM193" s="22">
        <f>(1/(2*LOG(3.7*($I193-0.008)/'Calculation Constants'!$B$5*1000)))^2</f>
        <v>1.4709705891825043E-2</v>
      </c>
      <c r="AN193" s="19">
        <f t="shared" si="77"/>
        <v>2.1543104841910781</v>
      </c>
      <c r="AO193" s="19">
        <f>IF($H193&gt;0,'Calculation Constants'!$B$9*Hydraulics!$K193^2/2/9.81/MAX($F$4:$F$253)*$H193,"")</f>
        <v>7.8734226558858159E-2</v>
      </c>
      <c r="AP193" s="19">
        <f t="shared" si="78"/>
        <v>2.2330447107499363</v>
      </c>
      <c r="AQ193" s="19">
        <f t="shared" si="64"/>
        <v>0</v>
      </c>
      <c r="AR193" s="19">
        <f t="shared" si="79"/>
        <v>64.787882231251615</v>
      </c>
      <c r="AS193" s="23">
        <f t="shared" si="80"/>
        <v>1090.5788822312516</v>
      </c>
    </row>
    <row r="194" spans="5:45">
      <c r="E194" s="35" t="str">
        <f t="shared" si="65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1"/>
        <v>2</v>
      </c>
      <c r="I194" s="19">
        <v>1.8</v>
      </c>
      <c r="J194" s="36">
        <f>'Flow Rate Calculations'!$B$7</f>
        <v>4.0831050228310497</v>
      </c>
      <c r="K194" s="36">
        <f t="shared" si="66"/>
        <v>1.6045588828318709</v>
      </c>
      <c r="L194" s="37">
        <f>$I194*$K194/'Calculation Constants'!$B$7</f>
        <v>2555934.503625989</v>
      </c>
      <c r="M194" s="37">
        <f t="shared" si="67"/>
        <v>125.49400000000003</v>
      </c>
      <c r="N194" s="23">
        <f t="shared" si="68"/>
        <v>90.290469207861747</v>
      </c>
      <c r="O194" s="57">
        <f t="shared" si="56"/>
        <v>125.49400000000003</v>
      </c>
      <c r="P194" s="66">
        <f>MAX(I194*1000/'Calculation Constants'!$B$14,O194*10*I194*1000/2/('Calculation Constants'!$B$12*1000*'Calculation Constants'!$B$13))</f>
        <v>11.25</v>
      </c>
      <c r="Q194" s="68">
        <f t="shared" si="57"/>
        <v>992548.40161508287</v>
      </c>
      <c r="R194" s="27">
        <f>(1/(2*LOG(3.7*$I194/'Calculation Constants'!$B$2*1000)))^2</f>
        <v>8.7463077071963571E-3</v>
      </c>
      <c r="S194" s="19">
        <f t="shared" si="69"/>
        <v>1.2752477269849725</v>
      </c>
      <c r="T194" s="19">
        <f>IF($H194&gt;0,'Calculation Constants'!$B$9*Hydraulics!$K194^2/2/9.81/MAX($F$4:$F$253)*$H194,"")</f>
        <v>7.8734226558858159E-2</v>
      </c>
      <c r="U194" s="19">
        <f t="shared" si="70"/>
        <v>1.3539819535438307</v>
      </c>
      <c r="V194" s="19">
        <f t="shared" si="58"/>
        <v>0</v>
      </c>
      <c r="W194" s="19">
        <f t="shared" si="59"/>
        <v>90.290469207861747</v>
      </c>
      <c r="X194" s="23">
        <f t="shared" si="71"/>
        <v>1111.2014692078617</v>
      </c>
      <c r="Y194" s="22">
        <f>(1/(2*LOG(3.7*$I194/'Calculation Constants'!$B$3*1000)))^2</f>
        <v>9.8211436332891755E-3</v>
      </c>
      <c r="Z194" s="19">
        <f t="shared" si="60"/>
        <v>1.431963236834217</v>
      </c>
      <c r="AA194" s="19">
        <f>IF($H194&gt;0,'Calculation Constants'!$B$9*Hydraulics!$K194^2/2/9.81/MAX($F$4:$F$253)*$H194,"")</f>
        <v>7.8734226558858159E-2</v>
      </c>
      <c r="AB194" s="19">
        <f t="shared" si="82"/>
        <v>1.5106974633930752</v>
      </c>
      <c r="AC194" s="19">
        <f t="shared" si="61"/>
        <v>0</v>
      </c>
      <c r="AD194" s="19">
        <f t="shared" si="72"/>
        <v>86.215865951777573</v>
      </c>
      <c r="AE194" s="23">
        <f t="shared" si="73"/>
        <v>1107.1268659517775</v>
      </c>
      <c r="AF194" s="27">
        <f>(1/(2*LOG(3.7*$I194/'Calculation Constants'!$B$4*1000)))^2</f>
        <v>1.1575055557914658E-2</v>
      </c>
      <c r="AG194" s="19">
        <f t="shared" si="62"/>
        <v>1.6876908272744866</v>
      </c>
      <c r="AH194" s="19">
        <f>IF($H194&gt;0,'Calculation Constants'!$B$9*Hydraulics!$K194^2/2/9.81/MAX($F$4:$F$253)*$H194,"")</f>
        <v>7.8734226558858159E-2</v>
      </c>
      <c r="AI194" s="19">
        <f t="shared" si="74"/>
        <v>1.7664250538333448</v>
      </c>
      <c r="AJ194" s="19">
        <f t="shared" si="63"/>
        <v>0</v>
      </c>
      <c r="AK194" s="19">
        <f t="shared" si="75"/>
        <v>79.56694860033565</v>
      </c>
      <c r="AL194" s="23">
        <f t="shared" si="76"/>
        <v>1100.4779486003356</v>
      </c>
      <c r="AM194" s="22">
        <f>(1/(2*LOG(3.7*($I194-0.008)/'Calculation Constants'!$B$5*1000)))^2</f>
        <v>1.4709705891825043E-2</v>
      </c>
      <c r="AN194" s="19">
        <f t="shared" si="77"/>
        <v>2.1543104841910781</v>
      </c>
      <c r="AO194" s="19">
        <f>IF($H194&gt;0,'Calculation Constants'!$B$9*Hydraulics!$K194^2/2/9.81/MAX($F$4:$F$253)*$H194,"")</f>
        <v>7.8734226558858159E-2</v>
      </c>
      <c r="AP194" s="19">
        <f t="shared" si="78"/>
        <v>2.2330447107499363</v>
      </c>
      <c r="AQ194" s="19">
        <f t="shared" si="64"/>
        <v>0</v>
      </c>
      <c r="AR194" s="19">
        <f t="shared" si="79"/>
        <v>67.434837520501674</v>
      </c>
      <c r="AS194" s="23">
        <f t="shared" si="80"/>
        <v>1088.3458375205016</v>
      </c>
    </row>
    <row r="195" spans="5:45">
      <c r="E195" s="35" t="str">
        <f t="shared" si="65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1"/>
        <v>2</v>
      </c>
      <c r="I195" s="19">
        <v>1.8</v>
      </c>
      <c r="J195" s="36">
        <f>'Flow Rate Calculations'!$B$7</f>
        <v>4.0831050228310497</v>
      </c>
      <c r="K195" s="36">
        <f t="shared" si="66"/>
        <v>1.6045588828318709</v>
      </c>
      <c r="L195" s="37">
        <f>$I195*$K195/'Calculation Constants'!$B$7</f>
        <v>2555934.503625989</v>
      </c>
      <c r="M195" s="37">
        <f t="shared" si="67"/>
        <v>130.755</v>
      </c>
      <c r="N195" s="23">
        <f t="shared" si="68"/>
        <v>94.197487254317934</v>
      </c>
      <c r="O195" s="57">
        <f t="shared" si="56"/>
        <v>130.755</v>
      </c>
      <c r="P195" s="66">
        <f>MAX(I195*1000/'Calculation Constants'!$B$14,O195*10*I195*1000/2/('Calculation Constants'!$B$12*1000*'Calculation Constants'!$B$13))</f>
        <v>11.25</v>
      </c>
      <c r="Q195" s="68">
        <f t="shared" si="57"/>
        <v>992548.40161508287</v>
      </c>
      <c r="R195" s="27">
        <f>(1/(2*LOG(3.7*$I195/'Calculation Constants'!$B$2*1000)))^2</f>
        <v>8.7463077071963571E-3</v>
      </c>
      <c r="S195" s="19">
        <f t="shared" si="69"/>
        <v>1.2752477269849725</v>
      </c>
      <c r="T195" s="19">
        <f>IF($H195&gt;0,'Calculation Constants'!$B$9*Hydraulics!$K195^2/2/9.81/MAX($F$4:$F$253)*$H195,"")</f>
        <v>7.8734226558858159E-2</v>
      </c>
      <c r="U195" s="19">
        <f t="shared" si="70"/>
        <v>1.3539819535438307</v>
      </c>
      <c r="V195" s="19">
        <f t="shared" si="58"/>
        <v>0</v>
      </c>
      <c r="W195" s="19">
        <f t="shared" si="59"/>
        <v>94.197487254317934</v>
      </c>
      <c r="X195" s="23">
        <f t="shared" si="71"/>
        <v>1109.8474872543179</v>
      </c>
      <c r="Y195" s="22">
        <f>(1/(2*LOG(3.7*$I195/'Calculation Constants'!$B$3*1000)))^2</f>
        <v>9.8211436332891755E-3</v>
      </c>
      <c r="Z195" s="19">
        <f t="shared" si="60"/>
        <v>1.431963236834217</v>
      </c>
      <c r="AA195" s="19">
        <f>IF($H195&gt;0,'Calculation Constants'!$B$9*Hydraulics!$K195^2/2/9.81/MAX($F$4:$F$253)*$H195,"")</f>
        <v>7.8734226558858159E-2</v>
      </c>
      <c r="AB195" s="19">
        <f t="shared" si="82"/>
        <v>1.5106974633930752</v>
      </c>
      <c r="AC195" s="19">
        <f t="shared" si="61"/>
        <v>0</v>
      </c>
      <c r="AD195" s="19">
        <f t="shared" si="72"/>
        <v>89.966168488384369</v>
      </c>
      <c r="AE195" s="23">
        <f t="shared" si="73"/>
        <v>1105.6161684883843</v>
      </c>
      <c r="AF195" s="27">
        <f>(1/(2*LOG(3.7*$I195/'Calculation Constants'!$B$4*1000)))^2</f>
        <v>1.1575055557914658E-2</v>
      </c>
      <c r="AG195" s="19">
        <f t="shared" si="62"/>
        <v>1.6876908272744866</v>
      </c>
      <c r="AH195" s="19">
        <f>IF($H195&gt;0,'Calculation Constants'!$B$9*Hydraulics!$K195^2/2/9.81/MAX($F$4:$F$253)*$H195,"")</f>
        <v>7.8734226558858159E-2</v>
      </c>
      <c r="AI195" s="19">
        <f t="shared" si="74"/>
        <v>1.7664250538333448</v>
      </c>
      <c r="AJ195" s="19">
        <f t="shared" si="63"/>
        <v>0</v>
      </c>
      <c r="AK195" s="19">
        <f t="shared" si="75"/>
        <v>83.061523546502372</v>
      </c>
      <c r="AL195" s="23">
        <f t="shared" si="76"/>
        <v>1098.7115235465023</v>
      </c>
      <c r="AM195" s="22">
        <f>(1/(2*LOG(3.7*($I195-0.008)/'Calculation Constants'!$B$5*1000)))^2</f>
        <v>1.4709705891825043E-2</v>
      </c>
      <c r="AN195" s="19">
        <f t="shared" si="77"/>
        <v>2.1543104841910781</v>
      </c>
      <c r="AO195" s="19">
        <f>IF($H195&gt;0,'Calculation Constants'!$B$9*Hydraulics!$K195^2/2/9.81/MAX($F$4:$F$253)*$H195,"")</f>
        <v>7.8734226558858159E-2</v>
      </c>
      <c r="AP195" s="19">
        <f t="shared" si="78"/>
        <v>2.2330447107499363</v>
      </c>
      <c r="AQ195" s="19">
        <f t="shared" si="64"/>
        <v>0</v>
      </c>
      <c r="AR195" s="19">
        <f t="shared" si="79"/>
        <v>70.462792809751704</v>
      </c>
      <c r="AS195" s="23">
        <f t="shared" si="80"/>
        <v>1086.1127928097517</v>
      </c>
    </row>
    <row r="196" spans="5:45">
      <c r="E196" s="35" t="str">
        <f t="shared" si="65"/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1"/>
        <v>2</v>
      </c>
      <c r="I196" s="19">
        <v>1.8</v>
      </c>
      <c r="J196" s="36">
        <f>'Flow Rate Calculations'!$B$7</f>
        <v>4.0831050228310497</v>
      </c>
      <c r="K196" s="36">
        <f t="shared" si="66"/>
        <v>1.6045588828318709</v>
      </c>
      <c r="L196" s="37">
        <f>$I196*$K196/'Calculation Constants'!$B$7</f>
        <v>2555934.503625989</v>
      </c>
      <c r="M196" s="37">
        <f t="shared" si="67"/>
        <v>134.26599999999996</v>
      </c>
      <c r="N196" s="23">
        <f t="shared" si="68"/>
        <v>96.354505300774122</v>
      </c>
      <c r="O196" s="57">
        <f t="shared" ref="O196:O253" si="83">MAX(M196,AD196)</f>
        <v>134.26599999999996</v>
      </c>
      <c r="P196" s="66">
        <f>MAX(I196*1000/'Calculation Constants'!$B$14,O196*10*I196*1000/2/('Calculation Constants'!$B$12*1000*'Calculation Constants'!$B$13))</f>
        <v>11.25</v>
      </c>
      <c r="Q196" s="68">
        <f t="shared" ref="Q196:Q253" si="84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69"/>
        <v>1.2752477269849725</v>
      </c>
      <c r="T196" s="19">
        <f>IF($H196&gt;0,'Calculation Constants'!$B$9*Hydraulics!$K196^2/2/9.81/MAX($F$4:$F$253)*$H196,"")</f>
        <v>7.8734226558858159E-2</v>
      </c>
      <c r="U196" s="19">
        <f t="shared" si="70"/>
        <v>1.3539819535438307</v>
      </c>
      <c r="V196" s="19">
        <f t="shared" ref="V196:V253" si="85">IF($F196=$B$4,$D$4,(IF($F196=$B$5,$D$5,IF($F196=$B$6,$D$6,0))))</f>
        <v>0</v>
      </c>
      <c r="W196" s="19">
        <f t="shared" ref="W196:W253" si="86">IF(E196="Reservoir",VLOOKUP(F196,$B$11:$D$15,2)-G196,X196-$G196)</f>
        <v>96.354505300774122</v>
      </c>
      <c r="X196" s="23">
        <f t="shared" si="71"/>
        <v>1108.4935053007741</v>
      </c>
      <c r="Y196" s="22">
        <f>(1/(2*LOG(3.7*$I196/'Calculation Constants'!$B$3*1000)))^2</f>
        <v>9.8211436332891755E-3</v>
      </c>
      <c r="Z196" s="19">
        <f t="shared" ref="Z196:Z253" si="87">IF($H196&gt;0,Y196*$H196*$K196^2/2/9.81/$I196*1000,"")</f>
        <v>1.431963236834217</v>
      </c>
      <c r="AA196" s="19">
        <f>IF($H196&gt;0,'Calculation Constants'!$B$9*Hydraulics!$K196^2/2/9.81/MAX($F$4:$F$253)*$H196,"")</f>
        <v>7.8734226558858159E-2</v>
      </c>
      <c r="AB196" s="19">
        <f t="shared" si="82"/>
        <v>1.5106974633930752</v>
      </c>
      <c r="AC196" s="19">
        <f t="shared" ref="AC196:AC253" si="88">IF($F196=$B$4,$D$4,(IF($F196=$B$5,$D$5,IF($F196=$B$6,$D$6,0))))</f>
        <v>0</v>
      </c>
      <c r="AD196" s="19">
        <f t="shared" si="72"/>
        <v>91.966471024991165</v>
      </c>
      <c r="AE196" s="23">
        <f t="shared" si="73"/>
        <v>1104.1054710249912</v>
      </c>
      <c r="AF196" s="27">
        <f>(1/(2*LOG(3.7*$I196/'Calculation Constants'!$B$4*1000)))^2</f>
        <v>1.1575055557914658E-2</v>
      </c>
      <c r="AG196" s="19">
        <f t="shared" ref="AG196:AG253" si="89">IF($H196&gt;0,AF196*$H196*$K196^2/2/9.81/$I196*1000,"")</f>
        <v>1.6876908272744866</v>
      </c>
      <c r="AH196" s="19">
        <f>IF($H196&gt;0,'Calculation Constants'!$B$9*Hydraulics!$K196^2/2/9.81/MAX($F$4:$F$253)*$H196,"")</f>
        <v>7.8734226558858159E-2</v>
      </c>
      <c r="AI196" s="19">
        <f t="shared" si="74"/>
        <v>1.7664250538333448</v>
      </c>
      <c r="AJ196" s="19">
        <f t="shared" ref="AJ196:AJ253" si="90">IF($F196=$B$4,$D$4,(IF($F196=$B$5,$D$5,IF($F196=$B$6,$D$6,0))))</f>
        <v>0</v>
      </c>
      <c r="AK196" s="19">
        <f t="shared" si="75"/>
        <v>84.806098492669094</v>
      </c>
      <c r="AL196" s="23">
        <f t="shared" si="76"/>
        <v>1096.9450984926691</v>
      </c>
      <c r="AM196" s="22">
        <f>(1/(2*LOG(3.7*($I196-0.008)/'Calculation Constants'!$B$5*1000)))^2</f>
        <v>1.4709705891825043E-2</v>
      </c>
      <c r="AN196" s="19">
        <f t="shared" si="77"/>
        <v>2.1543104841910781</v>
      </c>
      <c r="AO196" s="19">
        <f>IF($H196&gt;0,'Calculation Constants'!$B$9*Hydraulics!$K196^2/2/9.81/MAX($F$4:$F$253)*$H196,"")</f>
        <v>7.8734226558858159E-2</v>
      </c>
      <c r="AP196" s="19">
        <f t="shared" si="78"/>
        <v>2.2330447107499363</v>
      </c>
      <c r="AQ196" s="19">
        <f t="shared" ref="AQ196:AQ253" si="91">IF($F196=$B$4,$D$4,(IF($F196=$B$5,$D$5,IF($F196=$B$6,$D$6,0))))</f>
        <v>0</v>
      </c>
      <c r="AR196" s="19">
        <f t="shared" si="79"/>
        <v>71.740748099001735</v>
      </c>
      <c r="AS196" s="23">
        <f t="shared" si="80"/>
        <v>1083.8797480990017</v>
      </c>
    </row>
    <row r="197" spans="5:45">
      <c r="E197" s="35" t="str">
        <f t="shared" ref="E197:E253" si="92">IF(OR(F197=$B$11,F197=$B$12,F197=$B$13,F197=$B$14,F197=$B$15,F197=$B$16),"Reservoir",IF(OR(F197=$B$4,F197=$B$5,F197=$B$6),"Pump Station",""))</f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1"/>
        <v>2</v>
      </c>
      <c r="I197" s="19">
        <v>1.8</v>
      </c>
      <c r="J197" s="36">
        <f>'Flow Rate Calculations'!$B$7</f>
        <v>4.0831050228310497</v>
      </c>
      <c r="K197" s="36">
        <f t="shared" ref="K197:K253" si="93">J197/I197^2/PI()*4</f>
        <v>1.6045588828318709</v>
      </c>
      <c r="L197" s="37">
        <f>$I197*$K197/'Calculation Constants'!$B$7</f>
        <v>2555934.503625989</v>
      </c>
      <c r="M197" s="37">
        <f t="shared" ref="M197:M253" si="94">IF(X197&gt;VLOOKUP(F197,$B$11:$D$16,2),"Greater Dynamic Pressures",VLOOKUP(F197,$B$11:$C$16,2)-G197)</f>
        <v>135.93299999999999</v>
      </c>
      <c r="N197" s="23">
        <f t="shared" ref="N197:N253" si="95">W197</f>
        <v>96.667523347230372</v>
      </c>
      <c r="O197" s="57">
        <f t="shared" si="83"/>
        <v>135.93299999999999</v>
      </c>
      <c r="P197" s="66">
        <f>MAX(I197*1000/'Calculation Constants'!$B$14,O197*10*I197*1000/2/('Calculation Constants'!$B$12*1000*'Calculation Constants'!$B$13))</f>
        <v>11.25</v>
      </c>
      <c r="Q197" s="68">
        <f t="shared" si="84"/>
        <v>992548.40161508287</v>
      </c>
      <c r="R197" s="27">
        <f>(1/(2*LOG(3.7*$I197/'Calculation Constants'!$B$2*1000)))^2</f>
        <v>8.7463077071963571E-3</v>
      </c>
      <c r="S197" s="19">
        <f t="shared" ref="S197:S253" si="96">IF($H197&gt;0,R197*$H197*$K197^2/2/9.81/$I197*1000,"")</f>
        <v>1.2752477269849725</v>
      </c>
      <c r="T197" s="19">
        <f>IF($H197&gt;0,'Calculation Constants'!$B$9*Hydraulics!$K197^2/2/9.81/MAX($F$4:$F$253)*$H197,"")</f>
        <v>7.8734226558858159E-2</v>
      </c>
      <c r="U197" s="19">
        <f t="shared" ref="U197:U253" si="97">IF(S197="",0,S197+T197)</f>
        <v>1.3539819535438307</v>
      </c>
      <c r="V197" s="19">
        <f t="shared" si="85"/>
        <v>0</v>
      </c>
      <c r="W197" s="19">
        <f t="shared" si="86"/>
        <v>96.667523347230372</v>
      </c>
      <c r="X197" s="23">
        <f t="shared" ref="X197:X253" si="98">IF($E197="Reservoir",VLOOKUP($F197,$B$11:$D$16,2)+V197,X196-U197+V197)</f>
        <v>1107.1395233472304</v>
      </c>
      <c r="Y197" s="22">
        <f>(1/(2*LOG(3.7*$I197/'Calculation Constants'!$B$3*1000)))^2</f>
        <v>9.8211436332891755E-3</v>
      </c>
      <c r="Z197" s="19">
        <f t="shared" si="87"/>
        <v>1.431963236834217</v>
      </c>
      <c r="AA197" s="19">
        <f>IF($H197&gt;0,'Calculation Constants'!$B$9*Hydraulics!$K197^2/2/9.81/MAX($F$4:$F$253)*$H197,"")</f>
        <v>7.8734226558858159E-2</v>
      </c>
      <c r="AB197" s="19">
        <f t="shared" si="82"/>
        <v>1.5106974633930752</v>
      </c>
      <c r="AC197" s="19">
        <f t="shared" si="88"/>
        <v>0</v>
      </c>
      <c r="AD197" s="19">
        <f t="shared" ref="AD197:AD253" si="99">AE197-$G197</f>
        <v>92.122773561598024</v>
      </c>
      <c r="AE197" s="23">
        <f t="shared" ref="AE197:AE253" si="100">IF($E197="Reservoir",VLOOKUP($F197,$B$11:$D$16,2)+AC197,AE196-AB197+AC197)</f>
        <v>1102.594773561598</v>
      </c>
      <c r="AF197" s="27">
        <f>(1/(2*LOG(3.7*$I197/'Calculation Constants'!$B$4*1000)))^2</f>
        <v>1.1575055557914658E-2</v>
      </c>
      <c r="AG197" s="19">
        <f t="shared" si="89"/>
        <v>1.6876908272744866</v>
      </c>
      <c r="AH197" s="19">
        <f>IF($H197&gt;0,'Calculation Constants'!$B$9*Hydraulics!$K197^2/2/9.81/MAX($F$4:$F$253)*$H197,"")</f>
        <v>7.8734226558858159E-2</v>
      </c>
      <c r="AI197" s="19">
        <f t="shared" ref="AI197:AI253" si="101">IF(AG197="",0,AG197+AH197)</f>
        <v>1.7664250538333448</v>
      </c>
      <c r="AJ197" s="19">
        <f t="shared" si="90"/>
        <v>0</v>
      </c>
      <c r="AK197" s="19">
        <f t="shared" ref="AK197:AK253" si="102">AL197-$G197</f>
        <v>84.706673438835878</v>
      </c>
      <c r="AL197" s="23">
        <f t="shared" ref="AL197:AL253" si="103">IF($E197="Reservoir",VLOOKUP($F197,$B$11:$D$16,2)+AJ197,AL196-AI197+AJ197)</f>
        <v>1095.1786734388359</v>
      </c>
      <c r="AM197" s="22">
        <f>(1/(2*LOG(3.7*($I197-0.008)/'Calculation Constants'!$B$5*1000)))^2</f>
        <v>1.4709705891825043E-2</v>
      </c>
      <c r="AN197" s="19">
        <f t="shared" ref="AN197:AN253" si="104">IF($H197&gt;0,AM197*$H197*$K197^2/2/9.81/($I197-0.008)*1000,"")</f>
        <v>2.1543104841910781</v>
      </c>
      <c r="AO197" s="19">
        <f>IF($H197&gt;0,'Calculation Constants'!$B$9*Hydraulics!$K197^2/2/9.81/MAX($F$4:$F$253)*$H197,"")</f>
        <v>7.8734226558858159E-2</v>
      </c>
      <c r="AP197" s="19">
        <f t="shared" ref="AP197:AP253" si="105">IF(AN197="",0,AN197+AO197)</f>
        <v>2.2330447107499363</v>
      </c>
      <c r="AQ197" s="19">
        <f t="shared" si="91"/>
        <v>0</v>
      </c>
      <c r="AR197" s="19">
        <f t="shared" ref="AR197:AR253" si="106">AS197-$G197</f>
        <v>71.174703388251828</v>
      </c>
      <c r="AS197" s="23">
        <f t="shared" ref="AS197:AS253" si="107">IF($E197="Reservoir",VLOOKUP($F197,$B$11:$D$16,2)+AQ197,AS196-AP197+AQ197)</f>
        <v>1081.6467033882518</v>
      </c>
    </row>
    <row r="198" spans="5:45">
      <c r="E198" s="35" t="str">
        <f t="shared" si="92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53" si="108">F198-F197</f>
        <v>2</v>
      </c>
      <c r="I198" s="19">
        <v>1.8</v>
      </c>
      <c r="J198" s="36">
        <f>'Flow Rate Calculations'!$B$7</f>
        <v>4.0831050228310497</v>
      </c>
      <c r="K198" s="36">
        <f t="shared" si="93"/>
        <v>1.6045588828318709</v>
      </c>
      <c r="L198" s="37">
        <f>$I198*$K198/'Calculation Constants'!$B$7</f>
        <v>2555934.503625989</v>
      </c>
      <c r="M198" s="37">
        <f t="shared" si="94"/>
        <v>141.00400000000002</v>
      </c>
      <c r="N198" s="23">
        <f t="shared" si="95"/>
        <v>100.38454139368662</v>
      </c>
      <c r="O198" s="57">
        <f t="shared" si="83"/>
        <v>141.00400000000002</v>
      </c>
      <c r="P198" s="66">
        <f>MAX(I198*1000/'Calculation Constants'!$B$14,O198*10*I198*1000/2/('Calculation Constants'!$B$12*1000*'Calculation Constants'!$B$13))</f>
        <v>11.25</v>
      </c>
      <c r="Q198" s="68">
        <f t="shared" si="84"/>
        <v>992548.40161508287</v>
      </c>
      <c r="R198" s="27">
        <f>(1/(2*LOG(3.7*$I198/'Calculation Constants'!$B$2*1000)))^2</f>
        <v>8.7463077071963571E-3</v>
      </c>
      <c r="S198" s="19">
        <f t="shared" si="96"/>
        <v>1.2752477269849725</v>
      </c>
      <c r="T198" s="19">
        <f>IF($H198&gt;0,'Calculation Constants'!$B$9*Hydraulics!$K198^2/2/9.81/MAX($F$4:$F$253)*$H198,"")</f>
        <v>7.8734226558858159E-2</v>
      </c>
      <c r="U198" s="19">
        <f t="shared" si="97"/>
        <v>1.3539819535438307</v>
      </c>
      <c r="V198" s="19">
        <f t="shared" si="85"/>
        <v>0</v>
      </c>
      <c r="W198" s="19">
        <f t="shared" si="86"/>
        <v>100.38454139368662</v>
      </c>
      <c r="X198" s="23">
        <f t="shared" si="98"/>
        <v>1105.7855413936866</v>
      </c>
      <c r="Y198" s="22">
        <f>(1/(2*LOG(3.7*$I198/'Calculation Constants'!$B$3*1000)))^2</f>
        <v>9.8211436332891755E-3</v>
      </c>
      <c r="Z198" s="19">
        <f t="shared" si="87"/>
        <v>1.431963236834217</v>
      </c>
      <c r="AA198" s="19">
        <f>IF($H198&gt;0,'Calculation Constants'!$B$9*Hydraulics!$K198^2/2/9.81/MAX($F$4:$F$253)*$H198,"")</f>
        <v>7.8734226558858159E-2</v>
      </c>
      <c r="AB198" s="19">
        <f t="shared" si="82"/>
        <v>1.5106974633930752</v>
      </c>
      <c r="AC198" s="19">
        <f t="shared" si="88"/>
        <v>0</v>
      </c>
      <c r="AD198" s="19">
        <f t="shared" si="99"/>
        <v>95.683076098204879</v>
      </c>
      <c r="AE198" s="23">
        <f t="shared" si="100"/>
        <v>1101.0840760982048</v>
      </c>
      <c r="AF198" s="27">
        <f>(1/(2*LOG(3.7*$I198/'Calculation Constants'!$B$4*1000)))^2</f>
        <v>1.1575055557914658E-2</v>
      </c>
      <c r="AG198" s="19">
        <f t="shared" si="89"/>
        <v>1.6876908272744866</v>
      </c>
      <c r="AH198" s="19">
        <f>IF($H198&gt;0,'Calculation Constants'!$B$9*Hydraulics!$K198^2/2/9.81/MAX($F$4:$F$253)*$H198,"")</f>
        <v>7.8734226558858159E-2</v>
      </c>
      <c r="AI198" s="19">
        <f t="shared" si="101"/>
        <v>1.7664250538333448</v>
      </c>
      <c r="AJ198" s="19">
        <f t="shared" si="90"/>
        <v>0</v>
      </c>
      <c r="AK198" s="19">
        <f t="shared" si="102"/>
        <v>88.011248385002659</v>
      </c>
      <c r="AL198" s="23">
        <f t="shared" si="103"/>
        <v>1093.4122483850026</v>
      </c>
      <c r="AM198" s="22">
        <f>(1/(2*LOG(3.7*($I198-0.008)/'Calculation Constants'!$B$5*1000)))^2</f>
        <v>1.4709705891825043E-2</v>
      </c>
      <c r="AN198" s="19">
        <f t="shared" si="104"/>
        <v>2.1543104841910781</v>
      </c>
      <c r="AO198" s="19">
        <f>IF($H198&gt;0,'Calculation Constants'!$B$9*Hydraulics!$K198^2/2/9.81/MAX($F$4:$F$253)*$H198,"")</f>
        <v>7.8734226558858159E-2</v>
      </c>
      <c r="AP198" s="19">
        <f t="shared" si="105"/>
        <v>2.2330447107499363</v>
      </c>
      <c r="AQ198" s="19">
        <f t="shared" si="91"/>
        <v>0</v>
      </c>
      <c r="AR198" s="19">
        <f t="shared" si="106"/>
        <v>74.012658677501918</v>
      </c>
      <c r="AS198" s="23">
        <f t="shared" si="107"/>
        <v>1079.4136586775019</v>
      </c>
    </row>
    <row r="199" spans="5:45">
      <c r="E199" s="35" t="str">
        <f t="shared" si="92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8"/>
        <v>2</v>
      </c>
      <c r="I199" s="19">
        <v>1.8</v>
      </c>
      <c r="J199" s="36">
        <f>'Flow Rate Calculations'!$B$7</f>
        <v>4.0831050228310497</v>
      </c>
      <c r="K199" s="36">
        <f t="shared" si="93"/>
        <v>1.6045588828318709</v>
      </c>
      <c r="L199" s="37">
        <f>$I199*$K199/'Calculation Constants'!$B$7</f>
        <v>2555934.503625989</v>
      </c>
      <c r="M199" s="37">
        <f t="shared" si="94"/>
        <v>149.73899999999992</v>
      </c>
      <c r="N199" s="23">
        <f t="shared" si="95"/>
        <v>107.76555944014274</v>
      </c>
      <c r="O199" s="57">
        <f t="shared" si="83"/>
        <v>149.73899999999992</v>
      </c>
      <c r="P199" s="66">
        <f>MAX(I199*1000/'Calculation Constants'!$B$14,O199*10*I199*1000/2/('Calculation Constants'!$B$12*1000*'Calculation Constants'!$B$13))</f>
        <v>11.25</v>
      </c>
      <c r="Q199" s="68">
        <f t="shared" si="84"/>
        <v>992548.40161508287</v>
      </c>
      <c r="R199" s="27">
        <f>(1/(2*LOG(3.7*$I199/'Calculation Constants'!$B$2*1000)))^2</f>
        <v>8.7463077071963571E-3</v>
      </c>
      <c r="S199" s="19">
        <f t="shared" si="96"/>
        <v>1.2752477269849725</v>
      </c>
      <c r="T199" s="19">
        <f>IF($H199&gt;0,'Calculation Constants'!$B$9*Hydraulics!$K199^2/2/9.81/MAX($F$4:$F$253)*$H199,"")</f>
        <v>7.8734226558858159E-2</v>
      </c>
      <c r="U199" s="19">
        <f t="shared" si="97"/>
        <v>1.3539819535438307</v>
      </c>
      <c r="V199" s="19">
        <f t="shared" si="85"/>
        <v>0</v>
      </c>
      <c r="W199" s="19">
        <f t="shared" si="86"/>
        <v>107.76555944014274</v>
      </c>
      <c r="X199" s="23">
        <f t="shared" si="98"/>
        <v>1104.4315594401428</v>
      </c>
      <c r="Y199" s="22">
        <f>(1/(2*LOG(3.7*$I199/'Calculation Constants'!$B$3*1000)))^2</f>
        <v>9.8211436332891755E-3</v>
      </c>
      <c r="Z199" s="19">
        <f t="shared" si="87"/>
        <v>1.431963236834217</v>
      </c>
      <c r="AA199" s="19">
        <f>IF($H199&gt;0,'Calculation Constants'!$B$9*Hydraulics!$K199^2/2/9.81/MAX($F$4:$F$253)*$H199,"")</f>
        <v>7.8734226558858159E-2</v>
      </c>
      <c r="AB199" s="19">
        <f t="shared" si="82"/>
        <v>1.5106974633930752</v>
      </c>
      <c r="AC199" s="19">
        <f t="shared" si="88"/>
        <v>0</v>
      </c>
      <c r="AD199" s="19">
        <f t="shared" si="99"/>
        <v>102.90737863481161</v>
      </c>
      <c r="AE199" s="23">
        <f t="shared" si="100"/>
        <v>1099.5733786348117</v>
      </c>
      <c r="AF199" s="27">
        <f>(1/(2*LOG(3.7*$I199/'Calculation Constants'!$B$4*1000)))^2</f>
        <v>1.1575055557914658E-2</v>
      </c>
      <c r="AG199" s="19">
        <f t="shared" si="89"/>
        <v>1.6876908272744866</v>
      </c>
      <c r="AH199" s="19">
        <f>IF($H199&gt;0,'Calculation Constants'!$B$9*Hydraulics!$K199^2/2/9.81/MAX($F$4:$F$253)*$H199,"")</f>
        <v>7.8734226558858159E-2</v>
      </c>
      <c r="AI199" s="19">
        <f t="shared" si="101"/>
        <v>1.7664250538333448</v>
      </c>
      <c r="AJ199" s="19">
        <f t="shared" si="90"/>
        <v>0</v>
      </c>
      <c r="AK199" s="19">
        <f t="shared" si="102"/>
        <v>94.979823331169314</v>
      </c>
      <c r="AL199" s="23">
        <f t="shared" si="103"/>
        <v>1091.6458233311694</v>
      </c>
      <c r="AM199" s="22">
        <f>(1/(2*LOG(3.7*($I199-0.008)/'Calculation Constants'!$B$5*1000)))^2</f>
        <v>1.4709705891825043E-2</v>
      </c>
      <c r="AN199" s="19">
        <f t="shared" si="104"/>
        <v>2.1543104841910781</v>
      </c>
      <c r="AO199" s="19">
        <f>IF($H199&gt;0,'Calculation Constants'!$B$9*Hydraulics!$K199^2/2/9.81/MAX($F$4:$F$253)*$H199,"")</f>
        <v>7.8734226558858159E-2</v>
      </c>
      <c r="AP199" s="19">
        <f t="shared" si="105"/>
        <v>2.2330447107499363</v>
      </c>
      <c r="AQ199" s="19">
        <f t="shared" si="91"/>
        <v>0</v>
      </c>
      <c r="AR199" s="19">
        <f t="shared" si="106"/>
        <v>80.514613966751881</v>
      </c>
      <c r="AS199" s="23">
        <f t="shared" si="107"/>
        <v>1077.1806139667519</v>
      </c>
    </row>
    <row r="200" spans="5:45">
      <c r="E200" s="35" t="str">
        <f t="shared" si="92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8"/>
        <v>2</v>
      </c>
      <c r="I200" s="19">
        <v>1.8</v>
      </c>
      <c r="J200" s="36">
        <f>'Flow Rate Calculations'!$B$7</f>
        <v>4.0831050228310497</v>
      </c>
      <c r="K200" s="36">
        <f t="shared" si="93"/>
        <v>1.6045588828318709</v>
      </c>
      <c r="L200" s="37">
        <f>$I200*$K200/'Calculation Constants'!$B$7</f>
        <v>2555934.503625989</v>
      </c>
      <c r="M200" s="37">
        <f t="shared" si="94"/>
        <v>155.05499999999995</v>
      </c>
      <c r="N200" s="23">
        <f t="shared" si="95"/>
        <v>111.72757748659899</v>
      </c>
      <c r="O200" s="57">
        <f t="shared" si="83"/>
        <v>155.05499999999995</v>
      </c>
      <c r="P200" s="66">
        <f>MAX(I200*1000/'Calculation Constants'!$B$14,O200*10*I200*1000/2/('Calculation Constants'!$B$12*1000*'Calculation Constants'!$B$13))</f>
        <v>11.25</v>
      </c>
      <c r="Q200" s="68">
        <f t="shared" si="84"/>
        <v>992548.40161508287</v>
      </c>
      <c r="R200" s="27">
        <f>(1/(2*LOG(3.7*$I200/'Calculation Constants'!$B$2*1000)))^2</f>
        <v>8.7463077071963571E-3</v>
      </c>
      <c r="S200" s="19">
        <f t="shared" si="96"/>
        <v>1.2752477269849725</v>
      </c>
      <c r="T200" s="19">
        <f>IF($H200&gt;0,'Calculation Constants'!$B$9*Hydraulics!$K200^2/2/9.81/MAX($F$4:$F$253)*$H200,"")</f>
        <v>7.8734226558858159E-2</v>
      </c>
      <c r="U200" s="19">
        <f t="shared" si="97"/>
        <v>1.3539819535438307</v>
      </c>
      <c r="V200" s="19">
        <f t="shared" si="85"/>
        <v>0</v>
      </c>
      <c r="W200" s="19">
        <f t="shared" si="86"/>
        <v>111.72757748659899</v>
      </c>
      <c r="X200" s="23">
        <f t="shared" si="98"/>
        <v>1103.077577486599</v>
      </c>
      <c r="Y200" s="22">
        <f>(1/(2*LOG(3.7*$I200/'Calculation Constants'!$B$3*1000)))^2</f>
        <v>9.8211436332891755E-3</v>
      </c>
      <c r="Z200" s="19">
        <f t="shared" si="87"/>
        <v>1.431963236834217</v>
      </c>
      <c r="AA200" s="19">
        <f>IF($H200&gt;0,'Calculation Constants'!$B$9*Hydraulics!$K200^2/2/9.81/MAX($F$4:$F$253)*$H200,"")</f>
        <v>7.8734226558858159E-2</v>
      </c>
      <c r="AB200" s="19">
        <f t="shared" ref="AB200:AB253" si="109">IF(Z200="",0,Z200+AA200)</f>
        <v>1.5106974633930752</v>
      </c>
      <c r="AC200" s="19">
        <f t="shared" si="88"/>
        <v>0</v>
      </c>
      <c r="AD200" s="19">
        <f t="shared" si="99"/>
        <v>106.71268117141847</v>
      </c>
      <c r="AE200" s="23">
        <f t="shared" si="100"/>
        <v>1098.0626811714185</v>
      </c>
      <c r="AF200" s="27">
        <f>(1/(2*LOG(3.7*$I200/'Calculation Constants'!$B$4*1000)))^2</f>
        <v>1.1575055557914658E-2</v>
      </c>
      <c r="AG200" s="19">
        <f t="shared" si="89"/>
        <v>1.6876908272744866</v>
      </c>
      <c r="AH200" s="19">
        <f>IF($H200&gt;0,'Calculation Constants'!$B$9*Hydraulics!$K200^2/2/9.81/MAX($F$4:$F$253)*$H200,"")</f>
        <v>7.8734226558858159E-2</v>
      </c>
      <c r="AI200" s="19">
        <f t="shared" si="101"/>
        <v>1.7664250538333448</v>
      </c>
      <c r="AJ200" s="19">
        <f t="shared" si="90"/>
        <v>0</v>
      </c>
      <c r="AK200" s="19">
        <f t="shared" si="102"/>
        <v>98.529398277336099</v>
      </c>
      <c r="AL200" s="23">
        <f t="shared" si="103"/>
        <v>1089.8793982773361</v>
      </c>
      <c r="AM200" s="22">
        <f>(1/(2*LOG(3.7*($I200-0.008)/'Calculation Constants'!$B$5*1000)))^2</f>
        <v>1.4709705891825043E-2</v>
      </c>
      <c r="AN200" s="19">
        <f t="shared" si="104"/>
        <v>2.1543104841910781</v>
      </c>
      <c r="AO200" s="19">
        <f>IF($H200&gt;0,'Calculation Constants'!$B$9*Hydraulics!$K200^2/2/9.81/MAX($F$4:$F$253)*$H200,"")</f>
        <v>7.8734226558858159E-2</v>
      </c>
      <c r="AP200" s="19">
        <f t="shared" si="105"/>
        <v>2.2330447107499363</v>
      </c>
      <c r="AQ200" s="19">
        <f t="shared" si="91"/>
        <v>0</v>
      </c>
      <c r="AR200" s="19">
        <f t="shared" si="106"/>
        <v>83.597569256001975</v>
      </c>
      <c r="AS200" s="23">
        <f t="shared" si="107"/>
        <v>1074.947569256002</v>
      </c>
    </row>
    <row r="201" spans="5:45">
      <c r="E201" s="35" t="str">
        <f t="shared" si="92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8"/>
        <v>2</v>
      </c>
      <c r="I201" s="19">
        <v>1.8</v>
      </c>
      <c r="J201" s="36">
        <f>'Flow Rate Calculations'!$B$7</f>
        <v>4.0831050228310497</v>
      </c>
      <c r="K201" s="36">
        <f t="shared" si="93"/>
        <v>1.6045588828318709</v>
      </c>
      <c r="L201" s="37">
        <f>$I201*$K201/'Calculation Constants'!$B$7</f>
        <v>2555934.503625989</v>
      </c>
      <c r="M201" s="37">
        <f t="shared" si="94"/>
        <v>155.91899999999998</v>
      </c>
      <c r="N201" s="23">
        <f t="shared" si="95"/>
        <v>111.23759553305524</v>
      </c>
      <c r="O201" s="57">
        <f t="shared" si="83"/>
        <v>155.91899999999998</v>
      </c>
      <c r="P201" s="66">
        <f>MAX(I201*1000/'Calculation Constants'!$B$14,O201*10*I201*1000/2/('Calculation Constants'!$B$12*1000*'Calculation Constants'!$B$13))</f>
        <v>11.25</v>
      </c>
      <c r="Q201" s="68">
        <f t="shared" si="84"/>
        <v>992548.40161508287</v>
      </c>
      <c r="R201" s="27">
        <f>(1/(2*LOG(3.7*$I201/'Calculation Constants'!$B$2*1000)))^2</f>
        <v>8.7463077071963571E-3</v>
      </c>
      <c r="S201" s="19">
        <f t="shared" si="96"/>
        <v>1.2752477269849725</v>
      </c>
      <c r="T201" s="19">
        <f>IF($H201&gt;0,'Calculation Constants'!$B$9*Hydraulics!$K201^2/2/9.81/MAX($F$4:$F$253)*$H201,"")</f>
        <v>7.8734226558858159E-2</v>
      </c>
      <c r="U201" s="19">
        <f t="shared" si="97"/>
        <v>1.3539819535438307</v>
      </c>
      <c r="V201" s="19">
        <f t="shared" si="85"/>
        <v>0</v>
      </c>
      <c r="W201" s="19">
        <f t="shared" si="86"/>
        <v>111.23759553305524</v>
      </c>
      <c r="X201" s="23">
        <f t="shared" si="98"/>
        <v>1101.7235955330552</v>
      </c>
      <c r="Y201" s="22">
        <f>(1/(2*LOG(3.7*$I201/'Calculation Constants'!$B$3*1000)))^2</f>
        <v>9.8211436332891755E-3</v>
      </c>
      <c r="Z201" s="19">
        <f t="shared" si="87"/>
        <v>1.431963236834217</v>
      </c>
      <c r="AA201" s="19">
        <f>IF($H201&gt;0,'Calculation Constants'!$B$9*Hydraulics!$K201^2/2/9.81/MAX($F$4:$F$253)*$H201,"")</f>
        <v>7.8734226558858159E-2</v>
      </c>
      <c r="AB201" s="19">
        <f t="shared" si="109"/>
        <v>1.5106974633930752</v>
      </c>
      <c r="AC201" s="19">
        <f t="shared" si="88"/>
        <v>0</v>
      </c>
      <c r="AD201" s="19">
        <f t="shared" si="99"/>
        <v>106.06598370802533</v>
      </c>
      <c r="AE201" s="23">
        <f t="shared" si="100"/>
        <v>1096.5519837080253</v>
      </c>
      <c r="AF201" s="27">
        <f>(1/(2*LOG(3.7*$I201/'Calculation Constants'!$B$4*1000)))^2</f>
        <v>1.1575055557914658E-2</v>
      </c>
      <c r="AG201" s="19">
        <f t="shared" si="89"/>
        <v>1.6876908272744866</v>
      </c>
      <c r="AH201" s="19">
        <f>IF($H201&gt;0,'Calculation Constants'!$B$9*Hydraulics!$K201^2/2/9.81/MAX($F$4:$F$253)*$H201,"")</f>
        <v>7.8734226558858159E-2</v>
      </c>
      <c r="AI201" s="19">
        <f t="shared" si="101"/>
        <v>1.7664250538333448</v>
      </c>
      <c r="AJ201" s="19">
        <f t="shared" si="90"/>
        <v>0</v>
      </c>
      <c r="AK201" s="19">
        <f t="shared" si="102"/>
        <v>97.626973223502887</v>
      </c>
      <c r="AL201" s="23">
        <f t="shared" si="103"/>
        <v>1088.1129732235029</v>
      </c>
      <c r="AM201" s="22">
        <f>(1/(2*LOG(3.7*($I201-0.008)/'Calculation Constants'!$B$5*1000)))^2</f>
        <v>1.4709705891825043E-2</v>
      </c>
      <c r="AN201" s="19">
        <f t="shared" si="104"/>
        <v>2.1543104841910781</v>
      </c>
      <c r="AO201" s="19">
        <f>IF($H201&gt;0,'Calculation Constants'!$B$9*Hydraulics!$K201^2/2/9.81/MAX($F$4:$F$253)*$H201,"")</f>
        <v>7.8734226558858159E-2</v>
      </c>
      <c r="AP201" s="19">
        <f t="shared" si="105"/>
        <v>2.2330447107499363</v>
      </c>
      <c r="AQ201" s="19">
        <f t="shared" si="91"/>
        <v>0</v>
      </c>
      <c r="AR201" s="19">
        <f t="shared" si="106"/>
        <v>82.228524545252071</v>
      </c>
      <c r="AS201" s="23">
        <f t="shared" si="107"/>
        <v>1072.7145245452521</v>
      </c>
    </row>
    <row r="202" spans="5:45">
      <c r="E202" s="35" t="str">
        <f t="shared" si="92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8"/>
        <v>2</v>
      </c>
      <c r="I202" s="19">
        <v>1.8</v>
      </c>
      <c r="J202" s="36">
        <f>'Flow Rate Calculations'!$B$7</f>
        <v>4.0831050228310497</v>
      </c>
      <c r="K202" s="36">
        <f t="shared" si="93"/>
        <v>1.6045588828318709</v>
      </c>
      <c r="L202" s="37">
        <f>$I202*$K202/'Calculation Constants'!$B$7</f>
        <v>2555934.503625989</v>
      </c>
      <c r="M202" s="37">
        <f t="shared" si="94"/>
        <v>153.64400000000001</v>
      </c>
      <c r="N202" s="23">
        <f t="shared" si="95"/>
        <v>107.60861357951148</v>
      </c>
      <c r="O202" s="57">
        <f t="shared" si="83"/>
        <v>153.64400000000001</v>
      </c>
      <c r="P202" s="66">
        <f>MAX(I202*1000/'Calculation Constants'!$B$14,O202*10*I202*1000/2/('Calculation Constants'!$B$12*1000*'Calculation Constants'!$B$13))</f>
        <v>11.25</v>
      </c>
      <c r="Q202" s="68">
        <f t="shared" si="84"/>
        <v>992548.40161508287</v>
      </c>
      <c r="R202" s="27">
        <f>(1/(2*LOG(3.7*$I202/'Calculation Constants'!$B$2*1000)))^2</f>
        <v>8.7463077071963571E-3</v>
      </c>
      <c r="S202" s="19">
        <f t="shared" si="96"/>
        <v>1.2752477269849725</v>
      </c>
      <c r="T202" s="19">
        <f>IF($H202&gt;0,'Calculation Constants'!$B$9*Hydraulics!$K202^2/2/9.81/MAX($F$4:$F$253)*$H202,"")</f>
        <v>7.8734226558858159E-2</v>
      </c>
      <c r="U202" s="19">
        <f t="shared" si="97"/>
        <v>1.3539819535438307</v>
      </c>
      <c r="V202" s="19">
        <f t="shared" si="85"/>
        <v>0</v>
      </c>
      <c r="W202" s="19">
        <f t="shared" si="86"/>
        <v>107.60861357951148</v>
      </c>
      <c r="X202" s="23">
        <f t="shared" si="98"/>
        <v>1100.3696135795115</v>
      </c>
      <c r="Y202" s="22">
        <f>(1/(2*LOG(3.7*$I202/'Calculation Constants'!$B$3*1000)))^2</f>
        <v>9.8211436332891755E-3</v>
      </c>
      <c r="Z202" s="19">
        <f t="shared" si="87"/>
        <v>1.431963236834217</v>
      </c>
      <c r="AA202" s="19">
        <f>IF($H202&gt;0,'Calculation Constants'!$B$9*Hydraulics!$K202^2/2/9.81/MAX($F$4:$F$253)*$H202,"")</f>
        <v>7.8734226558858159E-2</v>
      </c>
      <c r="AB202" s="19">
        <f t="shared" si="109"/>
        <v>1.5106974633930752</v>
      </c>
      <c r="AC202" s="19">
        <f t="shared" si="88"/>
        <v>0</v>
      </c>
      <c r="AD202" s="19">
        <f t="shared" si="99"/>
        <v>102.28028624463218</v>
      </c>
      <c r="AE202" s="23">
        <f t="shared" si="100"/>
        <v>1095.0412862446321</v>
      </c>
      <c r="AF202" s="27">
        <f>(1/(2*LOG(3.7*$I202/'Calculation Constants'!$B$4*1000)))^2</f>
        <v>1.1575055557914658E-2</v>
      </c>
      <c r="AG202" s="19">
        <f t="shared" si="89"/>
        <v>1.6876908272744866</v>
      </c>
      <c r="AH202" s="19">
        <f>IF($H202&gt;0,'Calculation Constants'!$B$9*Hydraulics!$K202^2/2/9.81/MAX($F$4:$F$253)*$H202,"")</f>
        <v>7.8734226558858159E-2</v>
      </c>
      <c r="AI202" s="19">
        <f t="shared" si="101"/>
        <v>1.7664250538333448</v>
      </c>
      <c r="AJ202" s="19">
        <f t="shared" si="90"/>
        <v>0</v>
      </c>
      <c r="AK202" s="19">
        <f t="shared" si="102"/>
        <v>93.585548169669664</v>
      </c>
      <c r="AL202" s="23">
        <f t="shared" si="103"/>
        <v>1086.3465481696696</v>
      </c>
      <c r="AM202" s="22">
        <f>(1/(2*LOG(3.7*($I202-0.008)/'Calculation Constants'!$B$5*1000)))^2</f>
        <v>1.4709705891825043E-2</v>
      </c>
      <c r="AN202" s="19">
        <f t="shared" si="104"/>
        <v>2.1543104841910781</v>
      </c>
      <c r="AO202" s="19">
        <f>IF($H202&gt;0,'Calculation Constants'!$B$9*Hydraulics!$K202^2/2/9.81/MAX($F$4:$F$253)*$H202,"")</f>
        <v>7.8734226558858159E-2</v>
      </c>
      <c r="AP202" s="19">
        <f t="shared" si="105"/>
        <v>2.2330447107499363</v>
      </c>
      <c r="AQ202" s="19">
        <f t="shared" si="91"/>
        <v>0</v>
      </c>
      <c r="AR202" s="19">
        <f t="shared" si="106"/>
        <v>77.720479834502157</v>
      </c>
      <c r="AS202" s="23">
        <f t="shared" si="107"/>
        <v>1070.4814798345021</v>
      </c>
    </row>
    <row r="203" spans="5:45">
      <c r="E203" s="35" t="str">
        <f t="shared" si="92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8"/>
        <v>2</v>
      </c>
      <c r="I203" s="19">
        <v>1.8</v>
      </c>
      <c r="J203" s="36">
        <f>'Flow Rate Calculations'!$B$7</f>
        <v>4.0831050228310497</v>
      </c>
      <c r="K203" s="36">
        <f t="shared" si="93"/>
        <v>1.6045588828318709</v>
      </c>
      <c r="L203" s="37">
        <f>$I203*$K203/'Calculation Constants'!$B$7</f>
        <v>2555934.503625989</v>
      </c>
      <c r="M203" s="37">
        <f t="shared" si="94"/>
        <v>147.32799999999997</v>
      </c>
      <c r="N203" s="23">
        <f t="shared" si="95"/>
        <v>99.938631625967673</v>
      </c>
      <c r="O203" s="57">
        <f t="shared" si="83"/>
        <v>147.32799999999997</v>
      </c>
      <c r="P203" s="66">
        <f>MAX(I203*1000/'Calculation Constants'!$B$14,O203*10*I203*1000/2/('Calculation Constants'!$B$12*1000*'Calculation Constants'!$B$13))</f>
        <v>11.25</v>
      </c>
      <c r="Q203" s="68">
        <f t="shared" si="84"/>
        <v>992548.40161508287</v>
      </c>
      <c r="R203" s="27">
        <f>(1/(2*LOG(3.7*$I203/'Calculation Constants'!$B$2*1000)))^2</f>
        <v>8.7463077071963571E-3</v>
      </c>
      <c r="S203" s="19">
        <f t="shared" si="96"/>
        <v>1.2752477269849725</v>
      </c>
      <c r="T203" s="19">
        <f>IF($H203&gt;0,'Calculation Constants'!$B$9*Hydraulics!$K203^2/2/9.81/MAX($F$4:$F$253)*$H203,"")</f>
        <v>7.8734226558858159E-2</v>
      </c>
      <c r="U203" s="19">
        <f t="shared" si="97"/>
        <v>1.3539819535438307</v>
      </c>
      <c r="V203" s="19">
        <f t="shared" si="85"/>
        <v>0</v>
      </c>
      <c r="W203" s="19">
        <f t="shared" si="86"/>
        <v>99.938631625967673</v>
      </c>
      <c r="X203" s="23">
        <f t="shared" si="98"/>
        <v>1099.0156316259677</v>
      </c>
      <c r="Y203" s="22">
        <f>(1/(2*LOG(3.7*$I203/'Calculation Constants'!$B$3*1000)))^2</f>
        <v>9.8211436332891755E-3</v>
      </c>
      <c r="Z203" s="19">
        <f t="shared" si="87"/>
        <v>1.431963236834217</v>
      </c>
      <c r="AA203" s="19">
        <f>IF($H203&gt;0,'Calculation Constants'!$B$9*Hydraulics!$K203^2/2/9.81/MAX($F$4:$F$253)*$H203,"")</f>
        <v>7.8734226558858159E-2</v>
      </c>
      <c r="AB203" s="19">
        <f t="shared" si="109"/>
        <v>1.5106974633930752</v>
      </c>
      <c r="AC203" s="19">
        <f t="shared" si="88"/>
        <v>0</v>
      </c>
      <c r="AD203" s="19">
        <f t="shared" si="99"/>
        <v>94.453588781238977</v>
      </c>
      <c r="AE203" s="23">
        <f t="shared" si="100"/>
        <v>1093.530588781239</v>
      </c>
      <c r="AF203" s="27">
        <f>(1/(2*LOG(3.7*$I203/'Calculation Constants'!$B$4*1000)))^2</f>
        <v>1.1575055557914658E-2</v>
      </c>
      <c r="AG203" s="19">
        <f t="shared" si="89"/>
        <v>1.6876908272744866</v>
      </c>
      <c r="AH203" s="19">
        <f>IF($H203&gt;0,'Calculation Constants'!$B$9*Hydraulics!$K203^2/2/9.81/MAX($F$4:$F$253)*$H203,"")</f>
        <v>7.8734226558858159E-2</v>
      </c>
      <c r="AI203" s="19">
        <f t="shared" si="101"/>
        <v>1.7664250538333448</v>
      </c>
      <c r="AJ203" s="19">
        <f t="shared" si="90"/>
        <v>0</v>
      </c>
      <c r="AK203" s="19">
        <f t="shared" si="102"/>
        <v>85.503123115836388</v>
      </c>
      <c r="AL203" s="23">
        <f t="shared" si="103"/>
        <v>1084.5801231158364</v>
      </c>
      <c r="AM203" s="22">
        <f>(1/(2*LOG(3.7*($I203-0.008)/'Calculation Constants'!$B$5*1000)))^2</f>
        <v>1.4709705891825043E-2</v>
      </c>
      <c r="AN203" s="19">
        <f t="shared" si="104"/>
        <v>2.1543104841910781</v>
      </c>
      <c r="AO203" s="19">
        <f>IF($H203&gt;0,'Calculation Constants'!$B$9*Hydraulics!$K203^2/2/9.81/MAX($F$4:$F$253)*$H203,"")</f>
        <v>7.8734226558858159E-2</v>
      </c>
      <c r="AP203" s="19">
        <f t="shared" si="105"/>
        <v>2.2330447107499363</v>
      </c>
      <c r="AQ203" s="19">
        <f t="shared" si="91"/>
        <v>0</v>
      </c>
      <c r="AR203" s="19">
        <f t="shared" si="106"/>
        <v>69.17143512375219</v>
      </c>
      <c r="AS203" s="23">
        <f t="shared" si="107"/>
        <v>1068.2484351237522</v>
      </c>
    </row>
    <row r="204" spans="5:45">
      <c r="E204" s="35" t="str">
        <f t="shared" si="92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8"/>
        <v>2</v>
      </c>
      <c r="I204" s="19">
        <v>1.8</v>
      </c>
      <c r="J204" s="36">
        <f>'Flow Rate Calculations'!$B$7</f>
        <v>4.0831050228310497</v>
      </c>
      <c r="K204" s="36">
        <f t="shared" si="93"/>
        <v>1.6045588828318709</v>
      </c>
      <c r="L204" s="37">
        <f>$I204*$K204/'Calculation Constants'!$B$7</f>
        <v>2555934.503625989</v>
      </c>
      <c r="M204" s="37">
        <f t="shared" si="94"/>
        <v>144.60500000000002</v>
      </c>
      <c r="N204" s="23">
        <f t="shared" si="95"/>
        <v>95.861649672423937</v>
      </c>
      <c r="O204" s="57">
        <f t="shared" si="83"/>
        <v>144.60500000000002</v>
      </c>
      <c r="P204" s="66">
        <f>MAX(I204*1000/'Calculation Constants'!$B$14,O204*10*I204*1000/2/('Calculation Constants'!$B$12*1000*'Calculation Constants'!$B$13))</f>
        <v>11.25</v>
      </c>
      <c r="Q204" s="68">
        <f t="shared" si="84"/>
        <v>992548.40161508287</v>
      </c>
      <c r="R204" s="27">
        <f>(1/(2*LOG(3.7*$I204/'Calculation Constants'!$B$2*1000)))^2</f>
        <v>8.7463077071963571E-3</v>
      </c>
      <c r="S204" s="19">
        <f t="shared" si="96"/>
        <v>1.2752477269849725</v>
      </c>
      <c r="T204" s="19">
        <f>IF($H204&gt;0,'Calculation Constants'!$B$9*Hydraulics!$K204^2/2/9.81/MAX($F$4:$F$253)*$H204,"")</f>
        <v>7.8734226558858159E-2</v>
      </c>
      <c r="U204" s="19">
        <f t="shared" si="97"/>
        <v>1.3539819535438307</v>
      </c>
      <c r="V204" s="19">
        <f t="shared" si="85"/>
        <v>0</v>
      </c>
      <c r="W204" s="19">
        <f t="shared" si="86"/>
        <v>95.861649672423937</v>
      </c>
      <c r="X204" s="23">
        <f t="shared" si="98"/>
        <v>1097.6616496724239</v>
      </c>
      <c r="Y204" s="22">
        <f>(1/(2*LOG(3.7*$I204/'Calculation Constants'!$B$3*1000)))^2</f>
        <v>9.8211436332891755E-3</v>
      </c>
      <c r="Z204" s="19">
        <f t="shared" si="87"/>
        <v>1.431963236834217</v>
      </c>
      <c r="AA204" s="19">
        <f>IF($H204&gt;0,'Calculation Constants'!$B$9*Hydraulics!$K204^2/2/9.81/MAX($F$4:$F$253)*$H204,"")</f>
        <v>7.8734226558858159E-2</v>
      </c>
      <c r="AB204" s="19">
        <f t="shared" si="109"/>
        <v>1.5106974633930752</v>
      </c>
      <c r="AC204" s="19">
        <f t="shared" si="88"/>
        <v>0</v>
      </c>
      <c r="AD204" s="19">
        <f t="shared" si="99"/>
        <v>90.21989131784585</v>
      </c>
      <c r="AE204" s="23">
        <f t="shared" si="100"/>
        <v>1092.0198913178458</v>
      </c>
      <c r="AF204" s="27">
        <f>(1/(2*LOG(3.7*$I204/'Calculation Constants'!$B$4*1000)))^2</f>
        <v>1.1575055557914658E-2</v>
      </c>
      <c r="AG204" s="19">
        <f t="shared" si="89"/>
        <v>1.6876908272744866</v>
      </c>
      <c r="AH204" s="19">
        <f>IF($H204&gt;0,'Calculation Constants'!$B$9*Hydraulics!$K204^2/2/9.81/MAX($F$4:$F$253)*$H204,"")</f>
        <v>7.8734226558858159E-2</v>
      </c>
      <c r="AI204" s="19">
        <f t="shared" si="101"/>
        <v>1.7664250538333448</v>
      </c>
      <c r="AJ204" s="19">
        <f t="shared" si="90"/>
        <v>0</v>
      </c>
      <c r="AK204" s="19">
        <f t="shared" si="102"/>
        <v>81.013698062003186</v>
      </c>
      <c r="AL204" s="23">
        <f t="shared" si="103"/>
        <v>1082.8136980620031</v>
      </c>
      <c r="AM204" s="22">
        <f>(1/(2*LOG(3.7*($I204-0.008)/'Calculation Constants'!$B$5*1000)))^2</f>
        <v>1.4709705891825043E-2</v>
      </c>
      <c r="AN204" s="19">
        <f t="shared" si="104"/>
        <v>2.1543104841910781</v>
      </c>
      <c r="AO204" s="19">
        <f>IF($H204&gt;0,'Calculation Constants'!$B$9*Hydraulics!$K204^2/2/9.81/MAX($F$4:$F$253)*$H204,"")</f>
        <v>7.8734226558858159E-2</v>
      </c>
      <c r="AP204" s="19">
        <f t="shared" si="105"/>
        <v>2.2330447107499363</v>
      </c>
      <c r="AQ204" s="19">
        <f t="shared" si="91"/>
        <v>0</v>
      </c>
      <c r="AR204" s="19">
        <f t="shared" si="106"/>
        <v>64.215390413002297</v>
      </c>
      <c r="AS204" s="23">
        <f t="shared" si="107"/>
        <v>1066.0153904130023</v>
      </c>
    </row>
    <row r="205" spans="5:45">
      <c r="E205" s="35" t="str">
        <f t="shared" si="92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8"/>
        <v>2</v>
      </c>
      <c r="I205" s="19">
        <v>1.8</v>
      </c>
      <c r="J205" s="36">
        <f>'Flow Rate Calculations'!$B$7</f>
        <v>4.0831050228310497</v>
      </c>
      <c r="K205" s="36">
        <f t="shared" si="93"/>
        <v>1.6045588828318709</v>
      </c>
      <c r="L205" s="37">
        <f>$I205*$K205/'Calculation Constants'!$B$7</f>
        <v>2555934.503625989</v>
      </c>
      <c r="M205" s="37">
        <f t="shared" si="94"/>
        <v>144.18099999999993</v>
      </c>
      <c r="N205" s="23">
        <f t="shared" si="95"/>
        <v>94.083667718880065</v>
      </c>
      <c r="O205" s="57">
        <f t="shared" si="83"/>
        <v>144.18099999999993</v>
      </c>
      <c r="P205" s="66">
        <f>MAX(I205*1000/'Calculation Constants'!$B$14,O205*10*I205*1000/2/('Calculation Constants'!$B$12*1000*'Calculation Constants'!$B$13))</f>
        <v>11.25</v>
      </c>
      <c r="Q205" s="68">
        <f t="shared" si="84"/>
        <v>992548.40161508287</v>
      </c>
      <c r="R205" s="27">
        <f>(1/(2*LOG(3.7*$I205/'Calculation Constants'!$B$2*1000)))^2</f>
        <v>8.7463077071963571E-3</v>
      </c>
      <c r="S205" s="19">
        <f t="shared" si="96"/>
        <v>1.2752477269849725</v>
      </c>
      <c r="T205" s="19">
        <f>IF($H205&gt;0,'Calculation Constants'!$B$9*Hydraulics!$K205^2/2/9.81/MAX($F$4:$F$253)*$H205,"")</f>
        <v>7.8734226558858159E-2</v>
      </c>
      <c r="U205" s="19">
        <f t="shared" si="97"/>
        <v>1.3539819535438307</v>
      </c>
      <c r="V205" s="19">
        <f t="shared" si="85"/>
        <v>0</v>
      </c>
      <c r="W205" s="19">
        <f t="shared" si="86"/>
        <v>94.083667718880065</v>
      </c>
      <c r="X205" s="23">
        <f t="shared" si="98"/>
        <v>1096.3076677188801</v>
      </c>
      <c r="Y205" s="22">
        <f>(1/(2*LOG(3.7*$I205/'Calculation Constants'!$B$3*1000)))^2</f>
        <v>9.8211436332891755E-3</v>
      </c>
      <c r="Z205" s="19">
        <f t="shared" si="87"/>
        <v>1.431963236834217</v>
      </c>
      <c r="AA205" s="19">
        <f>IF($H205&gt;0,'Calculation Constants'!$B$9*Hydraulics!$K205^2/2/9.81/MAX($F$4:$F$253)*$H205,"")</f>
        <v>7.8734226558858159E-2</v>
      </c>
      <c r="AB205" s="19">
        <f t="shared" si="109"/>
        <v>1.5106974633930752</v>
      </c>
      <c r="AC205" s="19">
        <f t="shared" si="88"/>
        <v>0</v>
      </c>
      <c r="AD205" s="19">
        <f t="shared" si="99"/>
        <v>88.285193854452586</v>
      </c>
      <c r="AE205" s="23">
        <f t="shared" si="100"/>
        <v>1090.5091938544526</v>
      </c>
      <c r="AF205" s="27">
        <f>(1/(2*LOG(3.7*$I205/'Calculation Constants'!$B$4*1000)))^2</f>
        <v>1.1575055557914658E-2</v>
      </c>
      <c r="AG205" s="19">
        <f t="shared" si="89"/>
        <v>1.6876908272744866</v>
      </c>
      <c r="AH205" s="19">
        <f>IF($H205&gt;0,'Calculation Constants'!$B$9*Hydraulics!$K205^2/2/9.81/MAX($F$4:$F$253)*$H205,"")</f>
        <v>7.8734226558858159E-2</v>
      </c>
      <c r="AI205" s="19">
        <f t="shared" si="101"/>
        <v>1.7664250538333448</v>
      </c>
      <c r="AJ205" s="19">
        <f t="shared" si="90"/>
        <v>0</v>
      </c>
      <c r="AK205" s="19">
        <f t="shared" si="102"/>
        <v>78.823273008169849</v>
      </c>
      <c r="AL205" s="23">
        <f t="shared" si="103"/>
        <v>1081.0472730081699</v>
      </c>
      <c r="AM205" s="22">
        <f>(1/(2*LOG(3.7*($I205-0.008)/'Calculation Constants'!$B$5*1000)))^2</f>
        <v>1.4709705891825043E-2</v>
      </c>
      <c r="AN205" s="19">
        <f t="shared" si="104"/>
        <v>2.1543104841910781</v>
      </c>
      <c r="AO205" s="19">
        <f>IF($H205&gt;0,'Calculation Constants'!$B$9*Hydraulics!$K205^2/2/9.81/MAX($F$4:$F$253)*$H205,"")</f>
        <v>7.8734226558858159E-2</v>
      </c>
      <c r="AP205" s="19">
        <f t="shared" si="105"/>
        <v>2.2330447107499363</v>
      </c>
      <c r="AQ205" s="19">
        <f t="shared" si="91"/>
        <v>0</v>
      </c>
      <c r="AR205" s="19">
        <f t="shared" si="106"/>
        <v>61.558345702252268</v>
      </c>
      <c r="AS205" s="23">
        <f t="shared" si="107"/>
        <v>1063.7823457022523</v>
      </c>
    </row>
    <row r="206" spans="5:45">
      <c r="E206" s="35" t="str">
        <f t="shared" si="92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8"/>
        <v>2</v>
      </c>
      <c r="I206" s="19">
        <v>1.8</v>
      </c>
      <c r="J206" s="36">
        <f>'Flow Rate Calculations'!$B$7</f>
        <v>4.0831050228310497</v>
      </c>
      <c r="K206" s="36">
        <f t="shared" si="93"/>
        <v>1.6045588828318709</v>
      </c>
      <c r="L206" s="37">
        <f>$I206*$K206/'Calculation Constants'!$B$7</f>
        <v>2555934.503625989</v>
      </c>
      <c r="M206" s="37">
        <f t="shared" si="94"/>
        <v>144.40199999999993</v>
      </c>
      <c r="N206" s="23">
        <f t="shared" si="95"/>
        <v>92.950685765336289</v>
      </c>
      <c r="O206" s="57">
        <f t="shared" si="83"/>
        <v>144.40199999999993</v>
      </c>
      <c r="P206" s="66">
        <f>MAX(I206*1000/'Calculation Constants'!$B$14,O206*10*I206*1000/2/('Calculation Constants'!$B$12*1000*'Calculation Constants'!$B$13))</f>
        <v>11.25</v>
      </c>
      <c r="Q206" s="68">
        <f t="shared" si="84"/>
        <v>992548.40161508287</v>
      </c>
      <c r="R206" s="27">
        <f>(1/(2*LOG(3.7*$I206/'Calculation Constants'!$B$2*1000)))^2</f>
        <v>8.7463077071963571E-3</v>
      </c>
      <c r="S206" s="19">
        <f t="shared" si="96"/>
        <v>1.2752477269849725</v>
      </c>
      <c r="T206" s="19">
        <f>IF($H206&gt;0,'Calculation Constants'!$B$9*Hydraulics!$K206^2/2/9.81/MAX($F$4:$F$253)*$H206,"")</f>
        <v>7.8734226558858159E-2</v>
      </c>
      <c r="U206" s="19">
        <f t="shared" si="97"/>
        <v>1.3539819535438307</v>
      </c>
      <c r="V206" s="19">
        <f t="shared" si="85"/>
        <v>0</v>
      </c>
      <c r="W206" s="19">
        <f t="shared" si="86"/>
        <v>92.950685765336289</v>
      </c>
      <c r="X206" s="23">
        <f t="shared" si="98"/>
        <v>1094.9536857653363</v>
      </c>
      <c r="Y206" s="22">
        <f>(1/(2*LOG(3.7*$I206/'Calculation Constants'!$B$3*1000)))^2</f>
        <v>9.8211436332891755E-3</v>
      </c>
      <c r="Z206" s="19">
        <f t="shared" si="87"/>
        <v>1.431963236834217</v>
      </c>
      <c r="AA206" s="19">
        <f>IF($H206&gt;0,'Calculation Constants'!$B$9*Hydraulics!$K206^2/2/9.81/MAX($F$4:$F$253)*$H206,"")</f>
        <v>7.8734226558858159E-2</v>
      </c>
      <c r="AB206" s="19">
        <f t="shared" si="109"/>
        <v>1.5106974633930752</v>
      </c>
      <c r="AC206" s="19">
        <f t="shared" si="88"/>
        <v>0</v>
      </c>
      <c r="AD206" s="19">
        <f t="shared" si="99"/>
        <v>86.995496391059419</v>
      </c>
      <c r="AE206" s="23">
        <f t="shared" si="100"/>
        <v>1088.9984963910595</v>
      </c>
      <c r="AF206" s="27">
        <f>(1/(2*LOG(3.7*$I206/'Calculation Constants'!$B$4*1000)))^2</f>
        <v>1.1575055557914658E-2</v>
      </c>
      <c r="AG206" s="19">
        <f t="shared" si="89"/>
        <v>1.6876908272744866</v>
      </c>
      <c r="AH206" s="19">
        <f>IF($H206&gt;0,'Calculation Constants'!$B$9*Hydraulics!$K206^2/2/9.81/MAX($F$4:$F$253)*$H206,"")</f>
        <v>7.8734226558858159E-2</v>
      </c>
      <c r="AI206" s="19">
        <f t="shared" si="101"/>
        <v>1.7664250538333448</v>
      </c>
      <c r="AJ206" s="19">
        <f t="shared" si="90"/>
        <v>0</v>
      </c>
      <c r="AK206" s="19">
        <f t="shared" si="102"/>
        <v>77.277847954336607</v>
      </c>
      <c r="AL206" s="23">
        <f t="shared" si="103"/>
        <v>1079.2808479543367</v>
      </c>
      <c r="AM206" s="22">
        <f>(1/(2*LOG(3.7*($I206-0.008)/'Calculation Constants'!$B$5*1000)))^2</f>
        <v>1.4709705891825043E-2</v>
      </c>
      <c r="AN206" s="19">
        <f t="shared" si="104"/>
        <v>2.1543104841910781</v>
      </c>
      <c r="AO206" s="19">
        <f>IF($H206&gt;0,'Calculation Constants'!$B$9*Hydraulics!$K206^2/2/9.81/MAX($F$4:$F$253)*$H206,"")</f>
        <v>7.8734226558858159E-2</v>
      </c>
      <c r="AP206" s="19">
        <f t="shared" si="105"/>
        <v>2.2330447107499363</v>
      </c>
      <c r="AQ206" s="19">
        <f t="shared" si="91"/>
        <v>0</v>
      </c>
      <c r="AR206" s="19">
        <f t="shared" si="106"/>
        <v>59.546300991502335</v>
      </c>
      <c r="AS206" s="23">
        <f t="shared" si="107"/>
        <v>1061.5493009915024</v>
      </c>
    </row>
    <row r="207" spans="5:45">
      <c r="E207" s="35" t="str">
        <f t="shared" si="92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8"/>
        <v>2</v>
      </c>
      <c r="I207" s="19">
        <v>1.8</v>
      </c>
      <c r="J207" s="36">
        <f>'Flow Rate Calculations'!$B$7</f>
        <v>4.0831050228310497</v>
      </c>
      <c r="K207" s="36">
        <f t="shared" si="93"/>
        <v>1.6045588828318709</v>
      </c>
      <c r="L207" s="37">
        <f>$I207*$K207/'Calculation Constants'!$B$7</f>
        <v>2555934.503625989</v>
      </c>
      <c r="M207" s="37">
        <f t="shared" si="94"/>
        <v>142.80899999999997</v>
      </c>
      <c r="N207" s="23">
        <f t="shared" si="95"/>
        <v>90.003703811792548</v>
      </c>
      <c r="O207" s="57">
        <f t="shared" si="83"/>
        <v>142.80899999999997</v>
      </c>
      <c r="P207" s="66">
        <f>MAX(I207*1000/'Calculation Constants'!$B$14,O207*10*I207*1000/2/('Calculation Constants'!$B$12*1000*'Calculation Constants'!$B$13))</f>
        <v>11.25</v>
      </c>
      <c r="Q207" s="68">
        <f t="shared" si="84"/>
        <v>992548.40161508287</v>
      </c>
      <c r="R207" s="27">
        <f>(1/(2*LOG(3.7*$I207/'Calculation Constants'!$B$2*1000)))^2</f>
        <v>8.7463077071963571E-3</v>
      </c>
      <c r="S207" s="19">
        <f t="shared" si="96"/>
        <v>1.2752477269849725</v>
      </c>
      <c r="T207" s="19">
        <f>IF($H207&gt;0,'Calculation Constants'!$B$9*Hydraulics!$K207^2/2/9.81/MAX($F$4:$F$253)*$H207,"")</f>
        <v>7.8734226558858159E-2</v>
      </c>
      <c r="U207" s="19">
        <f t="shared" si="97"/>
        <v>1.3539819535438307</v>
      </c>
      <c r="V207" s="19">
        <f t="shared" si="85"/>
        <v>0</v>
      </c>
      <c r="W207" s="19">
        <f t="shared" si="86"/>
        <v>90.003703811792548</v>
      </c>
      <c r="X207" s="23">
        <f t="shared" si="98"/>
        <v>1093.5997038117926</v>
      </c>
      <c r="Y207" s="22">
        <f>(1/(2*LOG(3.7*$I207/'Calculation Constants'!$B$3*1000)))^2</f>
        <v>9.8211436332891755E-3</v>
      </c>
      <c r="Z207" s="19">
        <f t="shared" si="87"/>
        <v>1.431963236834217</v>
      </c>
      <c r="AA207" s="19">
        <f>IF($H207&gt;0,'Calculation Constants'!$B$9*Hydraulics!$K207^2/2/9.81/MAX($F$4:$F$253)*$H207,"")</f>
        <v>7.8734226558858159E-2</v>
      </c>
      <c r="AB207" s="19">
        <f t="shared" si="109"/>
        <v>1.5106974633930752</v>
      </c>
      <c r="AC207" s="19">
        <f t="shared" si="88"/>
        <v>0</v>
      </c>
      <c r="AD207" s="19">
        <f t="shared" si="99"/>
        <v>83.891798927666287</v>
      </c>
      <c r="AE207" s="23">
        <f t="shared" si="100"/>
        <v>1087.4877989276663</v>
      </c>
      <c r="AF207" s="27">
        <f>(1/(2*LOG(3.7*$I207/'Calculation Constants'!$B$4*1000)))^2</f>
        <v>1.1575055557914658E-2</v>
      </c>
      <c r="AG207" s="19">
        <f t="shared" si="89"/>
        <v>1.6876908272744866</v>
      </c>
      <c r="AH207" s="19">
        <f>IF($H207&gt;0,'Calculation Constants'!$B$9*Hydraulics!$K207^2/2/9.81/MAX($F$4:$F$253)*$H207,"")</f>
        <v>7.8734226558858159E-2</v>
      </c>
      <c r="AI207" s="19">
        <f t="shared" si="101"/>
        <v>1.7664250538333448</v>
      </c>
      <c r="AJ207" s="19">
        <f t="shared" si="90"/>
        <v>0</v>
      </c>
      <c r="AK207" s="19">
        <f t="shared" si="102"/>
        <v>73.918422900503401</v>
      </c>
      <c r="AL207" s="23">
        <f t="shared" si="103"/>
        <v>1077.5144229005034</v>
      </c>
      <c r="AM207" s="22">
        <f>(1/(2*LOG(3.7*($I207-0.008)/'Calculation Constants'!$B$5*1000)))^2</f>
        <v>1.4709705891825043E-2</v>
      </c>
      <c r="AN207" s="19">
        <f t="shared" si="104"/>
        <v>2.1543104841910781</v>
      </c>
      <c r="AO207" s="19">
        <f>IF($H207&gt;0,'Calculation Constants'!$B$9*Hydraulics!$K207^2/2/9.81/MAX($F$4:$F$253)*$H207,"")</f>
        <v>7.8734226558858159E-2</v>
      </c>
      <c r="AP207" s="19">
        <f t="shared" si="105"/>
        <v>2.2330447107499363</v>
      </c>
      <c r="AQ207" s="19">
        <f t="shared" si="91"/>
        <v>0</v>
      </c>
      <c r="AR207" s="19">
        <f t="shared" si="106"/>
        <v>55.720256280752437</v>
      </c>
      <c r="AS207" s="23">
        <f t="shared" si="107"/>
        <v>1059.3162562807524</v>
      </c>
    </row>
    <row r="208" spans="5:45">
      <c r="E208" s="35" t="str">
        <f t="shared" si="92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8"/>
        <v>2</v>
      </c>
      <c r="I208" s="19">
        <v>1.8</v>
      </c>
      <c r="J208" s="36">
        <f>'Flow Rate Calculations'!$B$7</f>
        <v>4.0831050228310497</v>
      </c>
      <c r="K208" s="36">
        <f t="shared" si="93"/>
        <v>1.6045588828318709</v>
      </c>
      <c r="L208" s="37">
        <f>$I208*$K208/'Calculation Constants'!$B$7</f>
        <v>2555934.503625989</v>
      </c>
      <c r="M208" s="37">
        <f t="shared" si="94"/>
        <v>152.29399999999998</v>
      </c>
      <c r="N208" s="23">
        <f t="shared" si="95"/>
        <v>98.134721858248781</v>
      </c>
      <c r="O208" s="57">
        <f t="shared" si="83"/>
        <v>152.29399999999998</v>
      </c>
      <c r="P208" s="66">
        <f>MAX(I208*1000/'Calculation Constants'!$B$14,O208*10*I208*1000/2/('Calculation Constants'!$B$12*1000*'Calculation Constants'!$B$13))</f>
        <v>11.25</v>
      </c>
      <c r="Q208" s="68">
        <f t="shared" si="84"/>
        <v>992548.40161508287</v>
      </c>
      <c r="R208" s="27">
        <f>(1/(2*LOG(3.7*$I208/'Calculation Constants'!$B$2*1000)))^2</f>
        <v>8.7463077071963571E-3</v>
      </c>
      <c r="S208" s="19">
        <f t="shared" si="96"/>
        <v>1.2752477269849725</v>
      </c>
      <c r="T208" s="19">
        <f>IF($H208&gt;0,'Calculation Constants'!$B$9*Hydraulics!$K208^2/2/9.81/MAX($F$4:$F$253)*$H208,"")</f>
        <v>7.8734226558858159E-2</v>
      </c>
      <c r="U208" s="19">
        <f t="shared" si="97"/>
        <v>1.3539819535438307</v>
      </c>
      <c r="V208" s="19">
        <f t="shared" si="85"/>
        <v>0</v>
      </c>
      <c r="W208" s="19">
        <f t="shared" si="86"/>
        <v>98.134721858248781</v>
      </c>
      <c r="X208" s="23">
        <f t="shared" si="98"/>
        <v>1092.2457218582488</v>
      </c>
      <c r="Y208" s="22">
        <f>(1/(2*LOG(3.7*$I208/'Calculation Constants'!$B$3*1000)))^2</f>
        <v>9.8211436332891755E-3</v>
      </c>
      <c r="Z208" s="19">
        <f t="shared" si="87"/>
        <v>1.431963236834217</v>
      </c>
      <c r="AA208" s="19">
        <f>IF($H208&gt;0,'Calculation Constants'!$B$9*Hydraulics!$K208^2/2/9.81/MAX($F$4:$F$253)*$H208,"")</f>
        <v>7.8734226558858159E-2</v>
      </c>
      <c r="AB208" s="19">
        <f t="shared" si="109"/>
        <v>1.5106974633930752</v>
      </c>
      <c r="AC208" s="19">
        <f t="shared" si="88"/>
        <v>0</v>
      </c>
      <c r="AD208" s="19">
        <f t="shared" si="99"/>
        <v>91.866101464273129</v>
      </c>
      <c r="AE208" s="23">
        <f t="shared" si="100"/>
        <v>1085.9771014642731</v>
      </c>
      <c r="AF208" s="27">
        <f>(1/(2*LOG(3.7*$I208/'Calculation Constants'!$B$4*1000)))^2</f>
        <v>1.1575055557914658E-2</v>
      </c>
      <c r="AG208" s="19">
        <f t="shared" si="89"/>
        <v>1.6876908272744866</v>
      </c>
      <c r="AH208" s="19">
        <f>IF($H208&gt;0,'Calculation Constants'!$B$9*Hydraulics!$K208^2/2/9.81/MAX($F$4:$F$253)*$H208,"")</f>
        <v>7.8734226558858159E-2</v>
      </c>
      <c r="AI208" s="19">
        <f t="shared" si="101"/>
        <v>1.7664250538333448</v>
      </c>
      <c r="AJ208" s="19">
        <f t="shared" si="90"/>
        <v>0</v>
      </c>
      <c r="AK208" s="19">
        <f t="shared" si="102"/>
        <v>81.63699784667017</v>
      </c>
      <c r="AL208" s="23">
        <f t="shared" si="103"/>
        <v>1075.7479978466702</v>
      </c>
      <c r="AM208" s="22">
        <f>(1/(2*LOG(3.7*($I208-0.008)/'Calculation Constants'!$B$5*1000)))^2</f>
        <v>1.4709705891825043E-2</v>
      </c>
      <c r="AN208" s="19">
        <f t="shared" si="104"/>
        <v>2.1543104841910781</v>
      </c>
      <c r="AO208" s="19">
        <f>IF($H208&gt;0,'Calculation Constants'!$B$9*Hydraulics!$K208^2/2/9.81/MAX($F$4:$F$253)*$H208,"")</f>
        <v>7.8734226558858159E-2</v>
      </c>
      <c r="AP208" s="19">
        <f t="shared" si="105"/>
        <v>2.2330447107499363</v>
      </c>
      <c r="AQ208" s="19">
        <f t="shared" si="91"/>
        <v>0</v>
      </c>
      <c r="AR208" s="19">
        <f t="shared" si="106"/>
        <v>62.972211570002514</v>
      </c>
      <c r="AS208" s="23">
        <f t="shared" si="107"/>
        <v>1057.0832115700025</v>
      </c>
    </row>
    <row r="209" spans="5:45">
      <c r="E209" s="35" t="str">
        <f t="shared" si="92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8"/>
        <v>2</v>
      </c>
      <c r="I209" s="19">
        <v>1.8</v>
      </c>
      <c r="J209" s="36">
        <f>'Flow Rate Calculations'!$B$7</f>
        <v>4.0831050228310497</v>
      </c>
      <c r="K209" s="36">
        <f t="shared" si="93"/>
        <v>1.6045588828318709</v>
      </c>
      <c r="L209" s="37">
        <f>$I209*$K209/'Calculation Constants'!$B$7</f>
        <v>2555934.503625989</v>
      </c>
      <c r="M209" s="37">
        <f t="shared" si="94"/>
        <v>162.48000000000002</v>
      </c>
      <c r="N209" s="23">
        <f t="shared" si="95"/>
        <v>106.96673990470504</v>
      </c>
      <c r="O209" s="57">
        <f t="shared" si="83"/>
        <v>162.48000000000002</v>
      </c>
      <c r="P209" s="66">
        <f>MAX(I209*1000/'Calculation Constants'!$B$14,O209*10*I209*1000/2/('Calculation Constants'!$B$12*1000*'Calculation Constants'!$B$13))</f>
        <v>11.25</v>
      </c>
      <c r="Q209" s="68">
        <f t="shared" si="84"/>
        <v>992548.40161508287</v>
      </c>
      <c r="R209" s="27">
        <f>(1/(2*LOG(3.7*$I209/'Calculation Constants'!$B$2*1000)))^2</f>
        <v>8.7463077071963571E-3</v>
      </c>
      <c r="S209" s="19">
        <f t="shared" si="96"/>
        <v>1.2752477269849725</v>
      </c>
      <c r="T209" s="19">
        <f>IF($H209&gt;0,'Calculation Constants'!$B$9*Hydraulics!$K209^2/2/9.81/MAX($F$4:$F$253)*$H209,"")</f>
        <v>7.8734226558858159E-2</v>
      </c>
      <c r="U209" s="19">
        <f t="shared" si="97"/>
        <v>1.3539819535438307</v>
      </c>
      <c r="V209" s="19">
        <f t="shared" si="85"/>
        <v>0</v>
      </c>
      <c r="W209" s="19">
        <f t="shared" si="86"/>
        <v>106.96673990470504</v>
      </c>
      <c r="X209" s="23">
        <f t="shared" si="98"/>
        <v>1090.891739904705</v>
      </c>
      <c r="Y209" s="22">
        <f>(1/(2*LOG(3.7*$I209/'Calculation Constants'!$B$3*1000)))^2</f>
        <v>9.8211436332891755E-3</v>
      </c>
      <c r="Z209" s="19">
        <f t="shared" si="87"/>
        <v>1.431963236834217</v>
      </c>
      <c r="AA209" s="19">
        <f>IF($H209&gt;0,'Calculation Constants'!$B$9*Hydraulics!$K209^2/2/9.81/MAX($F$4:$F$253)*$H209,"")</f>
        <v>7.8734226558858159E-2</v>
      </c>
      <c r="AB209" s="19">
        <f t="shared" si="109"/>
        <v>1.5106974633930752</v>
      </c>
      <c r="AC209" s="19">
        <f t="shared" si="88"/>
        <v>0</v>
      </c>
      <c r="AD209" s="19">
        <f t="shared" si="99"/>
        <v>100.54140400087999</v>
      </c>
      <c r="AE209" s="23">
        <f t="shared" si="100"/>
        <v>1084.4664040008799</v>
      </c>
      <c r="AF209" s="27">
        <f>(1/(2*LOG(3.7*$I209/'Calculation Constants'!$B$4*1000)))^2</f>
        <v>1.1575055557914658E-2</v>
      </c>
      <c r="AG209" s="19">
        <f t="shared" si="89"/>
        <v>1.6876908272744866</v>
      </c>
      <c r="AH209" s="19">
        <f>IF($H209&gt;0,'Calculation Constants'!$B$9*Hydraulics!$K209^2/2/9.81/MAX($F$4:$F$253)*$H209,"")</f>
        <v>7.8734226558858159E-2</v>
      </c>
      <c r="AI209" s="19">
        <f t="shared" si="101"/>
        <v>1.7664250538333448</v>
      </c>
      <c r="AJ209" s="19">
        <f t="shared" si="90"/>
        <v>0</v>
      </c>
      <c r="AK209" s="19">
        <f t="shared" si="102"/>
        <v>90.05657279283696</v>
      </c>
      <c r="AL209" s="23">
        <f t="shared" si="103"/>
        <v>1073.9815727928369</v>
      </c>
      <c r="AM209" s="22">
        <f>(1/(2*LOG(3.7*($I209-0.008)/'Calculation Constants'!$B$5*1000)))^2</f>
        <v>1.4709705891825043E-2</v>
      </c>
      <c r="AN209" s="19">
        <f t="shared" si="104"/>
        <v>2.1543104841910781</v>
      </c>
      <c r="AO209" s="19">
        <f>IF($H209&gt;0,'Calculation Constants'!$B$9*Hydraulics!$K209^2/2/9.81/MAX($F$4:$F$253)*$H209,"")</f>
        <v>7.8734226558858159E-2</v>
      </c>
      <c r="AP209" s="19">
        <f t="shared" si="105"/>
        <v>2.2330447107499363</v>
      </c>
      <c r="AQ209" s="19">
        <f t="shared" si="91"/>
        <v>0</v>
      </c>
      <c r="AR209" s="19">
        <f t="shared" si="106"/>
        <v>70.925166859252613</v>
      </c>
      <c r="AS209" s="23">
        <f t="shared" si="107"/>
        <v>1054.8501668592526</v>
      </c>
    </row>
    <row r="210" spans="5:45">
      <c r="E210" s="35" t="str">
        <f t="shared" si="92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8"/>
        <v>2</v>
      </c>
      <c r="I210" s="19">
        <v>1.8</v>
      </c>
      <c r="J210" s="36">
        <f>'Flow Rate Calculations'!$B$7</f>
        <v>4.0831050228310497</v>
      </c>
      <c r="K210" s="36">
        <f t="shared" si="93"/>
        <v>1.6045588828318709</v>
      </c>
      <c r="L210" s="37">
        <f>$I210*$K210/'Calculation Constants'!$B$7</f>
        <v>2555934.503625989</v>
      </c>
      <c r="M210" s="37">
        <f t="shared" si="94"/>
        <v>174.05799999999999</v>
      </c>
      <c r="N210" s="23">
        <f t="shared" si="95"/>
        <v>117.19075795116123</v>
      </c>
      <c r="O210" s="57">
        <f t="shared" si="83"/>
        <v>174.05799999999999</v>
      </c>
      <c r="P210" s="66">
        <f>MAX(I210*1000/'Calculation Constants'!$B$14,O210*10*I210*1000/2/('Calculation Constants'!$B$12*1000*'Calculation Constants'!$B$13))</f>
        <v>11.25</v>
      </c>
      <c r="Q210" s="68">
        <f t="shared" si="84"/>
        <v>992548.40161508287</v>
      </c>
      <c r="R210" s="27">
        <f>(1/(2*LOG(3.7*$I210/'Calculation Constants'!$B$2*1000)))^2</f>
        <v>8.7463077071963571E-3</v>
      </c>
      <c r="S210" s="19">
        <f t="shared" si="96"/>
        <v>1.2752477269849725</v>
      </c>
      <c r="T210" s="19">
        <f>IF($H210&gt;0,'Calculation Constants'!$B$9*Hydraulics!$K210^2/2/9.81/MAX($F$4:$F$253)*$H210,"")</f>
        <v>7.8734226558858159E-2</v>
      </c>
      <c r="U210" s="19">
        <f t="shared" si="97"/>
        <v>1.3539819535438307</v>
      </c>
      <c r="V210" s="19">
        <f t="shared" si="85"/>
        <v>0</v>
      </c>
      <c r="W210" s="19">
        <f t="shared" si="86"/>
        <v>117.19075795116123</v>
      </c>
      <c r="X210" s="23">
        <f t="shared" si="98"/>
        <v>1089.5377579511612</v>
      </c>
      <c r="Y210" s="22">
        <f>(1/(2*LOG(3.7*$I210/'Calculation Constants'!$B$3*1000)))^2</f>
        <v>9.8211436332891755E-3</v>
      </c>
      <c r="Z210" s="19">
        <f t="shared" si="87"/>
        <v>1.431963236834217</v>
      </c>
      <c r="AA210" s="19">
        <f>IF($H210&gt;0,'Calculation Constants'!$B$9*Hydraulics!$K210^2/2/9.81/MAX($F$4:$F$253)*$H210,"")</f>
        <v>7.8734226558858159E-2</v>
      </c>
      <c r="AB210" s="19">
        <f t="shared" si="109"/>
        <v>1.5106974633930752</v>
      </c>
      <c r="AC210" s="19">
        <f t="shared" si="88"/>
        <v>0</v>
      </c>
      <c r="AD210" s="19">
        <f t="shared" si="99"/>
        <v>110.6087065374868</v>
      </c>
      <c r="AE210" s="23">
        <f t="shared" si="100"/>
        <v>1082.9557065374868</v>
      </c>
      <c r="AF210" s="27">
        <f>(1/(2*LOG(3.7*$I210/'Calculation Constants'!$B$4*1000)))^2</f>
        <v>1.1575055557914658E-2</v>
      </c>
      <c r="AG210" s="19">
        <f t="shared" si="89"/>
        <v>1.6876908272744866</v>
      </c>
      <c r="AH210" s="19">
        <f>IF($H210&gt;0,'Calculation Constants'!$B$9*Hydraulics!$K210^2/2/9.81/MAX($F$4:$F$253)*$H210,"")</f>
        <v>7.8734226558858159E-2</v>
      </c>
      <c r="AI210" s="19">
        <f t="shared" si="101"/>
        <v>1.7664250538333448</v>
      </c>
      <c r="AJ210" s="19">
        <f t="shared" si="90"/>
        <v>0</v>
      </c>
      <c r="AK210" s="19">
        <f t="shared" si="102"/>
        <v>99.868147739003689</v>
      </c>
      <c r="AL210" s="23">
        <f t="shared" si="103"/>
        <v>1072.2151477390037</v>
      </c>
      <c r="AM210" s="22">
        <f>(1/(2*LOG(3.7*($I210-0.008)/'Calculation Constants'!$B$5*1000)))^2</f>
        <v>1.4709705891825043E-2</v>
      </c>
      <c r="AN210" s="19">
        <f t="shared" si="104"/>
        <v>2.1543104841910781</v>
      </c>
      <c r="AO210" s="19">
        <f>IF($H210&gt;0,'Calculation Constants'!$B$9*Hydraulics!$K210^2/2/9.81/MAX($F$4:$F$253)*$H210,"")</f>
        <v>7.8734226558858159E-2</v>
      </c>
      <c r="AP210" s="19">
        <f t="shared" si="105"/>
        <v>2.2330447107499363</v>
      </c>
      <c r="AQ210" s="19">
        <f t="shared" si="91"/>
        <v>0</v>
      </c>
      <c r="AR210" s="19">
        <f t="shared" si="106"/>
        <v>80.270122148502651</v>
      </c>
      <c r="AS210" s="23">
        <f t="shared" si="107"/>
        <v>1052.6171221485026</v>
      </c>
    </row>
    <row r="211" spans="5:45">
      <c r="E211" s="35" t="str">
        <f t="shared" si="92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8"/>
        <v>2</v>
      </c>
      <c r="I211" s="19">
        <v>1.8</v>
      </c>
      <c r="J211" s="36">
        <f>'Flow Rate Calculations'!$B$7</f>
        <v>4.0831050228310497</v>
      </c>
      <c r="K211" s="36">
        <f t="shared" si="93"/>
        <v>1.6045588828318709</v>
      </c>
      <c r="L211" s="37">
        <f>$I211*$K211/'Calculation Constants'!$B$7</f>
        <v>2555934.503625989</v>
      </c>
      <c r="M211" s="37">
        <f t="shared" si="94"/>
        <v>182.50400000000002</v>
      </c>
      <c r="N211" s="23">
        <f t="shared" si="95"/>
        <v>124.28277599761748</v>
      </c>
      <c r="O211" s="57">
        <f t="shared" si="83"/>
        <v>182.50400000000002</v>
      </c>
      <c r="P211" s="66">
        <f>MAX(I211*1000/'Calculation Constants'!$B$14,O211*10*I211*1000/2/('Calculation Constants'!$B$12*1000*'Calculation Constants'!$B$13))</f>
        <v>11.25</v>
      </c>
      <c r="Q211" s="68">
        <f t="shared" si="84"/>
        <v>992548.40161508287</v>
      </c>
      <c r="R211" s="27">
        <f>(1/(2*LOG(3.7*$I211/'Calculation Constants'!$B$2*1000)))^2</f>
        <v>8.7463077071963571E-3</v>
      </c>
      <c r="S211" s="19">
        <f t="shared" si="96"/>
        <v>1.2752477269849725</v>
      </c>
      <c r="T211" s="19">
        <f>IF($H211&gt;0,'Calculation Constants'!$B$9*Hydraulics!$K211^2/2/9.81/MAX($F$4:$F$253)*$H211,"")</f>
        <v>7.8734226558858159E-2</v>
      </c>
      <c r="U211" s="19">
        <f t="shared" si="97"/>
        <v>1.3539819535438307</v>
      </c>
      <c r="V211" s="19">
        <f t="shared" si="85"/>
        <v>0</v>
      </c>
      <c r="W211" s="19">
        <f t="shared" si="86"/>
        <v>124.28277599761748</v>
      </c>
      <c r="X211" s="23">
        <f t="shared" si="98"/>
        <v>1088.1837759976174</v>
      </c>
      <c r="Y211" s="22">
        <f>(1/(2*LOG(3.7*$I211/'Calculation Constants'!$B$3*1000)))^2</f>
        <v>9.8211436332891755E-3</v>
      </c>
      <c r="Z211" s="19">
        <f t="shared" si="87"/>
        <v>1.431963236834217</v>
      </c>
      <c r="AA211" s="19">
        <f>IF($H211&gt;0,'Calculation Constants'!$B$9*Hydraulics!$K211^2/2/9.81/MAX($F$4:$F$253)*$H211,"")</f>
        <v>7.8734226558858159E-2</v>
      </c>
      <c r="AB211" s="19">
        <f t="shared" si="109"/>
        <v>1.5106974633930752</v>
      </c>
      <c r="AC211" s="19">
        <f t="shared" si="88"/>
        <v>0</v>
      </c>
      <c r="AD211" s="19">
        <f t="shared" si="99"/>
        <v>117.54400907409365</v>
      </c>
      <c r="AE211" s="23">
        <f t="shared" si="100"/>
        <v>1081.4450090740936</v>
      </c>
      <c r="AF211" s="27">
        <f>(1/(2*LOG(3.7*$I211/'Calculation Constants'!$B$4*1000)))^2</f>
        <v>1.1575055557914658E-2</v>
      </c>
      <c r="AG211" s="19">
        <f t="shared" si="89"/>
        <v>1.6876908272744866</v>
      </c>
      <c r="AH211" s="19">
        <f>IF($H211&gt;0,'Calculation Constants'!$B$9*Hydraulics!$K211^2/2/9.81/MAX($F$4:$F$253)*$H211,"")</f>
        <v>7.8734226558858159E-2</v>
      </c>
      <c r="AI211" s="19">
        <f t="shared" si="101"/>
        <v>1.7664250538333448</v>
      </c>
      <c r="AJ211" s="19">
        <f t="shared" si="90"/>
        <v>0</v>
      </c>
      <c r="AK211" s="19">
        <f t="shared" si="102"/>
        <v>106.54772268517047</v>
      </c>
      <c r="AL211" s="23">
        <f t="shared" si="103"/>
        <v>1070.4487226851704</v>
      </c>
      <c r="AM211" s="22">
        <f>(1/(2*LOG(3.7*($I211-0.008)/'Calculation Constants'!$B$5*1000)))^2</f>
        <v>1.4709705891825043E-2</v>
      </c>
      <c r="AN211" s="19">
        <f t="shared" si="104"/>
        <v>2.1543104841910781</v>
      </c>
      <c r="AO211" s="19">
        <f>IF($H211&gt;0,'Calculation Constants'!$B$9*Hydraulics!$K211^2/2/9.81/MAX($F$4:$F$253)*$H211,"")</f>
        <v>7.8734226558858159E-2</v>
      </c>
      <c r="AP211" s="19">
        <f t="shared" si="105"/>
        <v>2.2330447107499363</v>
      </c>
      <c r="AQ211" s="19">
        <f t="shared" si="91"/>
        <v>0</v>
      </c>
      <c r="AR211" s="19">
        <f t="shared" si="106"/>
        <v>86.48307743775274</v>
      </c>
      <c r="AS211" s="23">
        <f t="shared" si="107"/>
        <v>1050.3840774377527</v>
      </c>
    </row>
    <row r="212" spans="5:45">
      <c r="E212" s="35" t="str">
        <f t="shared" si="92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8"/>
        <v>2</v>
      </c>
      <c r="I212" s="19">
        <v>1.8</v>
      </c>
      <c r="J212" s="36">
        <f>'Flow Rate Calculations'!$B$7</f>
        <v>4.0831050228310497</v>
      </c>
      <c r="K212" s="36">
        <f t="shared" si="93"/>
        <v>1.6045588828318709</v>
      </c>
      <c r="L212" s="37">
        <f>$I212*$K212/'Calculation Constants'!$B$7</f>
        <v>2555934.503625989</v>
      </c>
      <c r="M212" s="37">
        <f t="shared" si="94"/>
        <v>183.14699999999993</v>
      </c>
      <c r="N212" s="23">
        <f t="shared" si="95"/>
        <v>123.57179404407361</v>
      </c>
      <c r="O212" s="57">
        <f t="shared" si="83"/>
        <v>183.14699999999993</v>
      </c>
      <c r="P212" s="66">
        <f>MAX(I212*1000/'Calculation Constants'!$B$14,O212*10*I212*1000/2/('Calculation Constants'!$B$12*1000*'Calculation Constants'!$B$13))</f>
        <v>11.25</v>
      </c>
      <c r="Q212" s="68">
        <f t="shared" si="84"/>
        <v>992548.40161508287</v>
      </c>
      <c r="R212" s="27">
        <f>(1/(2*LOG(3.7*$I212/'Calculation Constants'!$B$2*1000)))^2</f>
        <v>8.7463077071963571E-3</v>
      </c>
      <c r="S212" s="19">
        <f t="shared" si="96"/>
        <v>1.2752477269849725</v>
      </c>
      <c r="T212" s="19">
        <f>IF($H212&gt;0,'Calculation Constants'!$B$9*Hydraulics!$K212^2/2/9.81/MAX($F$4:$F$253)*$H212,"")</f>
        <v>7.8734226558858159E-2</v>
      </c>
      <c r="U212" s="19">
        <f t="shared" si="97"/>
        <v>1.3539819535438307</v>
      </c>
      <c r="V212" s="19">
        <f t="shared" si="85"/>
        <v>0</v>
      </c>
      <c r="W212" s="19">
        <f t="shared" si="86"/>
        <v>123.57179404407361</v>
      </c>
      <c r="X212" s="23">
        <f t="shared" si="98"/>
        <v>1086.8297940440737</v>
      </c>
      <c r="Y212" s="22">
        <f>(1/(2*LOG(3.7*$I212/'Calculation Constants'!$B$3*1000)))^2</f>
        <v>9.8211436332891755E-3</v>
      </c>
      <c r="Z212" s="19">
        <f t="shared" si="87"/>
        <v>1.431963236834217</v>
      </c>
      <c r="AA212" s="19">
        <f>IF($H212&gt;0,'Calculation Constants'!$B$9*Hydraulics!$K212^2/2/9.81/MAX($F$4:$F$253)*$H212,"")</f>
        <v>7.8734226558858159E-2</v>
      </c>
      <c r="AB212" s="19">
        <f t="shared" si="109"/>
        <v>1.5106974633930752</v>
      </c>
      <c r="AC212" s="19">
        <f t="shared" si="88"/>
        <v>0</v>
      </c>
      <c r="AD212" s="19">
        <f t="shared" si="99"/>
        <v>116.6763116107004</v>
      </c>
      <c r="AE212" s="23">
        <f t="shared" si="100"/>
        <v>1079.9343116107004</v>
      </c>
      <c r="AF212" s="27">
        <f>(1/(2*LOG(3.7*$I212/'Calculation Constants'!$B$4*1000)))^2</f>
        <v>1.1575055557914658E-2</v>
      </c>
      <c r="AG212" s="19">
        <f t="shared" si="89"/>
        <v>1.6876908272744866</v>
      </c>
      <c r="AH212" s="19">
        <f>IF($H212&gt;0,'Calculation Constants'!$B$9*Hydraulics!$K212^2/2/9.81/MAX($F$4:$F$253)*$H212,"")</f>
        <v>7.8734226558858159E-2</v>
      </c>
      <c r="AI212" s="19">
        <f t="shared" si="101"/>
        <v>1.7664250538333448</v>
      </c>
      <c r="AJ212" s="19">
        <f t="shared" si="90"/>
        <v>0</v>
      </c>
      <c r="AK212" s="19">
        <f t="shared" si="102"/>
        <v>105.42429763133714</v>
      </c>
      <c r="AL212" s="23">
        <f t="shared" si="103"/>
        <v>1068.6822976313372</v>
      </c>
      <c r="AM212" s="22">
        <f>(1/(2*LOG(3.7*($I212-0.008)/'Calculation Constants'!$B$5*1000)))^2</f>
        <v>1.4709705891825043E-2</v>
      </c>
      <c r="AN212" s="19">
        <f t="shared" si="104"/>
        <v>2.1543104841910781</v>
      </c>
      <c r="AO212" s="19">
        <f>IF($H212&gt;0,'Calculation Constants'!$B$9*Hydraulics!$K212^2/2/9.81/MAX($F$4:$F$253)*$H212,"")</f>
        <v>7.8734226558858159E-2</v>
      </c>
      <c r="AP212" s="19">
        <f t="shared" si="105"/>
        <v>2.2330447107499363</v>
      </c>
      <c r="AQ212" s="19">
        <f t="shared" si="91"/>
        <v>0</v>
      </c>
      <c r="AR212" s="19">
        <f t="shared" si="106"/>
        <v>84.893032727002719</v>
      </c>
      <c r="AS212" s="23">
        <f t="shared" si="107"/>
        <v>1048.1510327270028</v>
      </c>
    </row>
    <row r="213" spans="5:45">
      <c r="E213" s="35" t="str">
        <f t="shared" si="92"/>
        <v/>
      </c>
      <c r="F213" s="19">
        <f>'Profile data'!A213</f>
        <v>420</v>
      </c>
      <c r="G213" s="19">
        <f>VLOOKUP(F213,'Profile data'!A213:C472,IF($B$22="Botswana 1",2,3))</f>
        <v>965.87199999999996</v>
      </c>
      <c r="H213" s="19">
        <f t="shared" si="108"/>
        <v>2</v>
      </c>
      <c r="I213" s="19">
        <v>1.8</v>
      </c>
      <c r="J213" s="36">
        <f>'Flow Rate Calculations'!$B$7</f>
        <v>4.0831050228310497</v>
      </c>
      <c r="K213" s="36">
        <f t="shared" si="93"/>
        <v>1.6045588828318709</v>
      </c>
      <c r="L213" s="37">
        <f>$I213*$K213/'Calculation Constants'!$B$7</f>
        <v>2555934.503625989</v>
      </c>
      <c r="M213" s="37">
        <f t="shared" si="94"/>
        <v>180.53300000000002</v>
      </c>
      <c r="N213" s="23">
        <f t="shared" si="95"/>
        <v>119.60381209052991</v>
      </c>
      <c r="O213" s="57">
        <f t="shared" si="83"/>
        <v>180.53300000000002</v>
      </c>
      <c r="P213" s="66">
        <f>MAX(I213*1000/'Calculation Constants'!$B$14,O213*10*I213*1000/2/('Calculation Constants'!$B$12*1000*'Calculation Constants'!$B$13))</f>
        <v>11.25</v>
      </c>
      <c r="Q213" s="68">
        <f t="shared" si="84"/>
        <v>992548.40161508287</v>
      </c>
      <c r="R213" s="27">
        <f>(1/(2*LOG(3.7*$I213/'Calculation Constants'!$B$2*1000)))^2</f>
        <v>8.7463077071963571E-3</v>
      </c>
      <c r="S213" s="19">
        <f t="shared" si="96"/>
        <v>1.2752477269849725</v>
      </c>
      <c r="T213" s="19">
        <f>IF($H213&gt;0,'Calculation Constants'!$B$9*Hydraulics!$K213^2/2/9.81/MAX($F$4:$F$253)*$H213,"")</f>
        <v>7.8734226558858159E-2</v>
      </c>
      <c r="U213" s="19">
        <f t="shared" si="97"/>
        <v>1.3539819535438307</v>
      </c>
      <c r="V213" s="19">
        <f t="shared" si="85"/>
        <v>0</v>
      </c>
      <c r="W213" s="19">
        <f t="shared" si="86"/>
        <v>119.60381209052991</v>
      </c>
      <c r="X213" s="23">
        <f t="shared" si="98"/>
        <v>1085.4758120905299</v>
      </c>
      <c r="Y213" s="22">
        <f>(1/(2*LOG(3.7*$I213/'Calculation Constants'!$B$3*1000)))^2</f>
        <v>9.8211436332891755E-3</v>
      </c>
      <c r="Z213" s="19">
        <f t="shared" si="87"/>
        <v>1.431963236834217</v>
      </c>
      <c r="AA213" s="19">
        <f>IF($H213&gt;0,'Calculation Constants'!$B$9*Hydraulics!$K213^2/2/9.81/MAX($F$4:$F$253)*$H213,"")</f>
        <v>7.8734226558858159E-2</v>
      </c>
      <c r="AB213" s="19">
        <f t="shared" si="109"/>
        <v>1.5106974633930752</v>
      </c>
      <c r="AC213" s="19">
        <f t="shared" si="88"/>
        <v>0</v>
      </c>
      <c r="AD213" s="19">
        <f t="shared" si="99"/>
        <v>112.5516141473073</v>
      </c>
      <c r="AE213" s="23">
        <f t="shared" si="100"/>
        <v>1078.4236141473073</v>
      </c>
      <c r="AF213" s="27">
        <f>(1/(2*LOG(3.7*$I213/'Calculation Constants'!$B$4*1000)))^2</f>
        <v>1.1575055557914658E-2</v>
      </c>
      <c r="AG213" s="19">
        <f t="shared" si="89"/>
        <v>1.6876908272744866</v>
      </c>
      <c r="AH213" s="19">
        <f>IF($H213&gt;0,'Calculation Constants'!$B$9*Hydraulics!$K213^2/2/9.81/MAX($F$4:$F$253)*$H213,"")</f>
        <v>7.8734226558858159E-2</v>
      </c>
      <c r="AI213" s="19">
        <f t="shared" si="101"/>
        <v>1.7664250538333448</v>
      </c>
      <c r="AJ213" s="19">
        <f t="shared" si="90"/>
        <v>0</v>
      </c>
      <c r="AK213" s="19">
        <f t="shared" si="102"/>
        <v>101.04387257750398</v>
      </c>
      <c r="AL213" s="23">
        <f t="shared" si="103"/>
        <v>1066.9158725775039</v>
      </c>
      <c r="AM213" s="22">
        <f>(1/(2*LOG(3.7*($I213-0.008)/'Calculation Constants'!$B$5*1000)))^2</f>
        <v>1.4709705891825043E-2</v>
      </c>
      <c r="AN213" s="19">
        <f t="shared" si="104"/>
        <v>2.1543104841910781</v>
      </c>
      <c r="AO213" s="19">
        <f>IF($H213&gt;0,'Calculation Constants'!$B$9*Hydraulics!$K213^2/2/9.81/MAX($F$4:$F$253)*$H213,"")</f>
        <v>7.8734226558858159E-2</v>
      </c>
      <c r="AP213" s="19">
        <f t="shared" si="105"/>
        <v>2.2330447107499363</v>
      </c>
      <c r="AQ213" s="19">
        <f t="shared" si="91"/>
        <v>0</v>
      </c>
      <c r="AR213" s="19">
        <f t="shared" si="106"/>
        <v>80.045988016252863</v>
      </c>
      <c r="AS213" s="23">
        <f t="shared" si="107"/>
        <v>1045.9179880162528</v>
      </c>
    </row>
    <row r="214" spans="5:45">
      <c r="E214" s="35" t="str">
        <f t="shared" si="92"/>
        <v/>
      </c>
      <c r="F214" s="19">
        <f>'Profile data'!A214</f>
        <v>422</v>
      </c>
      <c r="G214" s="19">
        <f>VLOOKUP(F214,'Profile data'!A214:C473,IF($B$22="Botswana 1",2,3))</f>
        <v>966.17700000000002</v>
      </c>
      <c r="H214" s="19">
        <f t="shared" si="108"/>
        <v>2</v>
      </c>
      <c r="I214" s="19">
        <v>1.8</v>
      </c>
      <c r="J214" s="36">
        <f>'Flow Rate Calculations'!$B$7</f>
        <v>4.0831050228310497</v>
      </c>
      <c r="K214" s="36">
        <f t="shared" si="93"/>
        <v>1.6045588828318709</v>
      </c>
      <c r="L214" s="37">
        <f>$I214*$K214/'Calculation Constants'!$B$7</f>
        <v>2555934.503625989</v>
      </c>
      <c r="M214" s="37">
        <f t="shared" si="94"/>
        <v>180.22799999999995</v>
      </c>
      <c r="N214" s="23">
        <f t="shared" si="95"/>
        <v>117.94483013698607</v>
      </c>
      <c r="O214" s="57">
        <f t="shared" si="83"/>
        <v>180.22799999999995</v>
      </c>
      <c r="P214" s="66">
        <f>MAX(I214*1000/'Calculation Constants'!$B$14,O214*10*I214*1000/2/('Calculation Constants'!$B$12*1000*'Calculation Constants'!$B$13))</f>
        <v>11.25</v>
      </c>
      <c r="Q214" s="68">
        <f t="shared" si="84"/>
        <v>992548.40161508287</v>
      </c>
      <c r="R214" s="27">
        <f>(1/(2*LOG(3.7*$I214/'Calculation Constants'!$B$2*1000)))^2</f>
        <v>8.7463077071963571E-3</v>
      </c>
      <c r="S214" s="19">
        <f t="shared" si="96"/>
        <v>1.2752477269849725</v>
      </c>
      <c r="T214" s="19">
        <f>IF($H214&gt;0,'Calculation Constants'!$B$9*Hydraulics!$K214^2/2/9.81/MAX($F$4:$F$253)*$H214,"")</f>
        <v>7.8734226558858159E-2</v>
      </c>
      <c r="U214" s="19">
        <f t="shared" si="97"/>
        <v>1.3539819535438307</v>
      </c>
      <c r="V214" s="19">
        <f t="shared" si="85"/>
        <v>0</v>
      </c>
      <c r="W214" s="19">
        <f t="shared" si="86"/>
        <v>117.94483013698607</v>
      </c>
      <c r="X214" s="23">
        <f t="shared" si="98"/>
        <v>1084.1218301369861</v>
      </c>
      <c r="Y214" s="22">
        <f>(1/(2*LOG(3.7*$I214/'Calculation Constants'!$B$3*1000)))^2</f>
        <v>9.8211436332891755E-3</v>
      </c>
      <c r="Z214" s="19">
        <f t="shared" si="87"/>
        <v>1.431963236834217</v>
      </c>
      <c r="AA214" s="19">
        <f>IF($H214&gt;0,'Calculation Constants'!$B$9*Hydraulics!$K214^2/2/9.81/MAX($F$4:$F$253)*$H214,"")</f>
        <v>7.8734226558858159E-2</v>
      </c>
      <c r="AB214" s="19">
        <f t="shared" si="109"/>
        <v>1.5106974633930752</v>
      </c>
      <c r="AC214" s="19">
        <f t="shared" si="88"/>
        <v>0</v>
      </c>
      <c r="AD214" s="19">
        <f t="shared" si="99"/>
        <v>110.73591668391407</v>
      </c>
      <c r="AE214" s="23">
        <f t="shared" si="100"/>
        <v>1076.9129166839141</v>
      </c>
      <c r="AF214" s="27">
        <f>(1/(2*LOG(3.7*$I214/'Calculation Constants'!$B$4*1000)))^2</f>
        <v>1.1575055557914658E-2</v>
      </c>
      <c r="AG214" s="19">
        <f t="shared" si="89"/>
        <v>1.6876908272744866</v>
      </c>
      <c r="AH214" s="19">
        <f>IF($H214&gt;0,'Calculation Constants'!$B$9*Hydraulics!$K214^2/2/9.81/MAX($F$4:$F$253)*$H214,"")</f>
        <v>7.8734226558858159E-2</v>
      </c>
      <c r="AI214" s="19">
        <f t="shared" si="101"/>
        <v>1.7664250538333448</v>
      </c>
      <c r="AJ214" s="19">
        <f t="shared" si="90"/>
        <v>0</v>
      </c>
      <c r="AK214" s="19">
        <f t="shared" si="102"/>
        <v>98.972447523670667</v>
      </c>
      <c r="AL214" s="23">
        <f t="shared" si="103"/>
        <v>1065.1494475236707</v>
      </c>
      <c r="AM214" s="22">
        <f>(1/(2*LOG(3.7*($I214-0.008)/'Calculation Constants'!$B$5*1000)))^2</f>
        <v>1.4709705891825043E-2</v>
      </c>
      <c r="AN214" s="19">
        <f t="shared" si="104"/>
        <v>2.1543104841910781</v>
      </c>
      <c r="AO214" s="19">
        <f>IF($H214&gt;0,'Calculation Constants'!$B$9*Hydraulics!$K214^2/2/9.81/MAX($F$4:$F$253)*$H214,"")</f>
        <v>7.8734226558858159E-2</v>
      </c>
      <c r="AP214" s="19">
        <f t="shared" si="105"/>
        <v>2.2330447107499363</v>
      </c>
      <c r="AQ214" s="19">
        <f t="shared" si="91"/>
        <v>0</v>
      </c>
      <c r="AR214" s="19">
        <f t="shared" si="106"/>
        <v>77.507943305502863</v>
      </c>
      <c r="AS214" s="23">
        <f t="shared" si="107"/>
        <v>1043.6849433055029</v>
      </c>
    </row>
    <row r="215" spans="5:45">
      <c r="E215" s="35" t="str">
        <f t="shared" si="92"/>
        <v/>
      </c>
      <c r="F215" s="19">
        <f>'Profile data'!A215</f>
        <v>424</v>
      </c>
      <c r="G215" s="19">
        <f>VLOOKUP(F215,'Profile data'!A215:C474,IF($B$22="Botswana 1",2,3))</f>
        <v>973.82500000000005</v>
      </c>
      <c r="H215" s="19">
        <f t="shared" si="108"/>
        <v>2</v>
      </c>
      <c r="I215" s="19">
        <v>1.8</v>
      </c>
      <c r="J215" s="36">
        <f>'Flow Rate Calculations'!$B$7</f>
        <v>4.0831050228310497</v>
      </c>
      <c r="K215" s="36">
        <f t="shared" si="93"/>
        <v>1.6045588828318709</v>
      </c>
      <c r="L215" s="37">
        <f>$I215*$K215/'Calculation Constants'!$B$7</f>
        <v>2555934.503625989</v>
      </c>
      <c r="M215" s="37">
        <f t="shared" si="94"/>
        <v>172.57999999999993</v>
      </c>
      <c r="N215" s="23">
        <f t="shared" si="95"/>
        <v>108.94284818344227</v>
      </c>
      <c r="O215" s="57">
        <f t="shared" si="83"/>
        <v>172.57999999999993</v>
      </c>
      <c r="P215" s="66">
        <f>MAX(I215*1000/'Calculation Constants'!$B$14,O215*10*I215*1000/2/('Calculation Constants'!$B$12*1000*'Calculation Constants'!$B$13))</f>
        <v>11.25</v>
      </c>
      <c r="Q215" s="68">
        <f t="shared" si="84"/>
        <v>992548.40161508287</v>
      </c>
      <c r="R215" s="27">
        <f>(1/(2*LOG(3.7*$I215/'Calculation Constants'!$B$2*1000)))^2</f>
        <v>8.7463077071963571E-3</v>
      </c>
      <c r="S215" s="19">
        <f t="shared" si="96"/>
        <v>1.2752477269849725</v>
      </c>
      <c r="T215" s="19">
        <f>IF($H215&gt;0,'Calculation Constants'!$B$9*Hydraulics!$K215^2/2/9.81/MAX($F$4:$F$253)*$H215,"")</f>
        <v>7.8734226558858159E-2</v>
      </c>
      <c r="U215" s="19">
        <f t="shared" si="97"/>
        <v>1.3539819535438307</v>
      </c>
      <c r="V215" s="19">
        <f t="shared" si="85"/>
        <v>0</v>
      </c>
      <c r="W215" s="19">
        <f t="shared" si="86"/>
        <v>108.94284818344227</v>
      </c>
      <c r="X215" s="23">
        <f t="shared" si="98"/>
        <v>1082.7678481834423</v>
      </c>
      <c r="Y215" s="22">
        <f>(1/(2*LOG(3.7*$I215/'Calculation Constants'!$B$3*1000)))^2</f>
        <v>9.8211436332891755E-3</v>
      </c>
      <c r="Z215" s="19">
        <f t="shared" si="87"/>
        <v>1.431963236834217</v>
      </c>
      <c r="AA215" s="19">
        <f>IF($H215&gt;0,'Calculation Constants'!$B$9*Hydraulics!$K215^2/2/9.81/MAX($F$4:$F$253)*$H215,"")</f>
        <v>7.8734226558858159E-2</v>
      </c>
      <c r="AB215" s="19">
        <f t="shared" si="109"/>
        <v>1.5106974633930752</v>
      </c>
      <c r="AC215" s="19">
        <f t="shared" si="88"/>
        <v>0</v>
      </c>
      <c r="AD215" s="19">
        <f t="shared" si="99"/>
        <v>101.57721922052087</v>
      </c>
      <c r="AE215" s="23">
        <f t="shared" si="100"/>
        <v>1075.4022192205209</v>
      </c>
      <c r="AF215" s="27">
        <f>(1/(2*LOG(3.7*$I215/'Calculation Constants'!$B$4*1000)))^2</f>
        <v>1.1575055557914658E-2</v>
      </c>
      <c r="AG215" s="19">
        <f t="shared" si="89"/>
        <v>1.6876908272744866</v>
      </c>
      <c r="AH215" s="19">
        <f>IF($H215&gt;0,'Calculation Constants'!$B$9*Hydraulics!$K215^2/2/9.81/MAX($F$4:$F$253)*$H215,"")</f>
        <v>7.8734226558858159E-2</v>
      </c>
      <c r="AI215" s="19">
        <f t="shared" si="101"/>
        <v>1.7664250538333448</v>
      </c>
      <c r="AJ215" s="19">
        <f t="shared" si="90"/>
        <v>0</v>
      </c>
      <c r="AK215" s="19">
        <f t="shared" si="102"/>
        <v>89.558022469837397</v>
      </c>
      <c r="AL215" s="23">
        <f t="shared" si="103"/>
        <v>1063.3830224698374</v>
      </c>
      <c r="AM215" s="22">
        <f>(1/(2*LOG(3.7*($I215-0.008)/'Calculation Constants'!$B$5*1000)))^2</f>
        <v>1.4709705891825043E-2</v>
      </c>
      <c r="AN215" s="19">
        <f t="shared" si="104"/>
        <v>2.1543104841910781</v>
      </c>
      <c r="AO215" s="19">
        <f>IF($H215&gt;0,'Calculation Constants'!$B$9*Hydraulics!$K215^2/2/9.81/MAX($F$4:$F$253)*$H215,"")</f>
        <v>7.8734226558858159E-2</v>
      </c>
      <c r="AP215" s="19">
        <f t="shared" si="105"/>
        <v>2.2330447107499363</v>
      </c>
      <c r="AQ215" s="19">
        <f t="shared" si="91"/>
        <v>0</v>
      </c>
      <c r="AR215" s="19">
        <f t="shared" si="106"/>
        <v>67.626898594752902</v>
      </c>
      <c r="AS215" s="23">
        <f t="shared" si="107"/>
        <v>1041.4518985947529</v>
      </c>
    </row>
    <row r="216" spans="5:45">
      <c r="E216" s="35" t="str">
        <f t="shared" si="92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8"/>
        <v>2</v>
      </c>
      <c r="I216" s="19">
        <v>1.8</v>
      </c>
      <c r="J216" s="36">
        <f>'Flow Rate Calculations'!$B$7</f>
        <v>4.0831050228310497</v>
      </c>
      <c r="K216" s="36">
        <f t="shared" si="93"/>
        <v>1.6045588828318709</v>
      </c>
      <c r="L216" s="37">
        <f>$I216*$K216/'Calculation Constants'!$B$7</f>
        <v>2555934.503625989</v>
      </c>
      <c r="M216" s="37">
        <f t="shared" si="94"/>
        <v>162.43299999999999</v>
      </c>
      <c r="N216" s="23">
        <f t="shared" si="95"/>
        <v>97.441866229898551</v>
      </c>
      <c r="O216" s="57">
        <f t="shared" si="83"/>
        <v>162.43299999999999</v>
      </c>
      <c r="P216" s="66">
        <f>MAX(I216*1000/'Calculation Constants'!$B$14,O216*10*I216*1000/2/('Calculation Constants'!$B$12*1000*'Calculation Constants'!$B$13))</f>
        <v>11.25</v>
      </c>
      <c r="Q216" s="68">
        <f t="shared" si="84"/>
        <v>992548.40161508287</v>
      </c>
      <c r="R216" s="27">
        <f>(1/(2*LOG(3.7*$I216/'Calculation Constants'!$B$2*1000)))^2</f>
        <v>8.7463077071963571E-3</v>
      </c>
      <c r="S216" s="19">
        <f t="shared" si="96"/>
        <v>1.2752477269849725</v>
      </c>
      <c r="T216" s="19">
        <f>IF($H216&gt;0,'Calculation Constants'!$B$9*Hydraulics!$K216^2/2/9.81/MAX($F$4:$F$253)*$H216,"")</f>
        <v>7.8734226558858159E-2</v>
      </c>
      <c r="U216" s="19">
        <f t="shared" si="97"/>
        <v>1.3539819535438307</v>
      </c>
      <c r="V216" s="19">
        <f t="shared" si="85"/>
        <v>0</v>
      </c>
      <c r="W216" s="19">
        <f t="shared" si="86"/>
        <v>97.441866229898551</v>
      </c>
      <c r="X216" s="23">
        <f t="shared" si="98"/>
        <v>1081.4138662298985</v>
      </c>
      <c r="Y216" s="22">
        <f>(1/(2*LOG(3.7*$I216/'Calculation Constants'!$B$3*1000)))^2</f>
        <v>9.8211436332891755E-3</v>
      </c>
      <c r="Z216" s="19">
        <f t="shared" si="87"/>
        <v>1.431963236834217</v>
      </c>
      <c r="AA216" s="19">
        <f>IF($H216&gt;0,'Calculation Constants'!$B$9*Hydraulics!$K216^2/2/9.81/MAX($F$4:$F$253)*$H216,"")</f>
        <v>7.8734226558858159E-2</v>
      </c>
      <c r="AB216" s="19">
        <f t="shared" si="109"/>
        <v>1.5106974633930752</v>
      </c>
      <c r="AC216" s="19">
        <f t="shared" si="88"/>
        <v>0</v>
      </c>
      <c r="AD216" s="19">
        <f t="shared" si="99"/>
        <v>89.919521757127768</v>
      </c>
      <c r="AE216" s="23">
        <f t="shared" si="100"/>
        <v>1073.8915217571277</v>
      </c>
      <c r="AF216" s="27">
        <f>(1/(2*LOG(3.7*$I216/'Calculation Constants'!$B$4*1000)))^2</f>
        <v>1.1575055557914658E-2</v>
      </c>
      <c r="AG216" s="19">
        <f t="shared" si="89"/>
        <v>1.6876908272744866</v>
      </c>
      <c r="AH216" s="19">
        <f>IF($H216&gt;0,'Calculation Constants'!$B$9*Hydraulics!$K216^2/2/9.81/MAX($F$4:$F$253)*$H216,"")</f>
        <v>7.8734226558858159E-2</v>
      </c>
      <c r="AI216" s="19">
        <f t="shared" si="101"/>
        <v>1.7664250538333448</v>
      </c>
      <c r="AJ216" s="19">
        <f t="shared" si="90"/>
        <v>0</v>
      </c>
      <c r="AK216" s="19">
        <f t="shared" si="102"/>
        <v>77.644597416004217</v>
      </c>
      <c r="AL216" s="23">
        <f t="shared" si="103"/>
        <v>1061.6165974160042</v>
      </c>
      <c r="AM216" s="22">
        <f>(1/(2*LOG(3.7*($I216-0.008)/'Calculation Constants'!$B$5*1000)))^2</f>
        <v>1.4709705891825043E-2</v>
      </c>
      <c r="AN216" s="19">
        <f t="shared" si="104"/>
        <v>2.1543104841910781</v>
      </c>
      <c r="AO216" s="19">
        <f>IF($H216&gt;0,'Calculation Constants'!$B$9*Hydraulics!$K216^2/2/9.81/MAX($F$4:$F$253)*$H216,"")</f>
        <v>7.8734226558858159E-2</v>
      </c>
      <c r="AP216" s="19">
        <f t="shared" si="105"/>
        <v>2.2330447107499363</v>
      </c>
      <c r="AQ216" s="19">
        <f t="shared" si="91"/>
        <v>0</v>
      </c>
      <c r="AR216" s="19">
        <f t="shared" si="106"/>
        <v>55.246853884003031</v>
      </c>
      <c r="AS216" s="23">
        <f t="shared" si="107"/>
        <v>1039.218853884003</v>
      </c>
    </row>
    <row r="217" spans="5:45">
      <c r="E217" s="35" t="str">
        <f t="shared" si="92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8"/>
        <v>2</v>
      </c>
      <c r="I217" s="19">
        <v>1.8</v>
      </c>
      <c r="J217" s="36">
        <f>'Flow Rate Calculations'!$B$7</f>
        <v>4.0831050228310497</v>
      </c>
      <c r="K217" s="36">
        <f t="shared" si="93"/>
        <v>1.6045588828318709</v>
      </c>
      <c r="L217" s="37">
        <f>$I217*$K217/'Calculation Constants'!$B$7</f>
        <v>2555934.503625989</v>
      </c>
      <c r="M217" s="37">
        <f t="shared" si="94"/>
        <v>152.30899999999997</v>
      </c>
      <c r="N217" s="23">
        <f t="shared" si="95"/>
        <v>85.963884276354747</v>
      </c>
      <c r="O217" s="57">
        <f t="shared" si="83"/>
        <v>152.30899999999997</v>
      </c>
      <c r="P217" s="66">
        <f>MAX(I217*1000/'Calculation Constants'!$B$14,O217*10*I217*1000/2/('Calculation Constants'!$B$12*1000*'Calculation Constants'!$B$13))</f>
        <v>11.25</v>
      </c>
      <c r="Q217" s="68">
        <f t="shared" si="84"/>
        <v>992548.40161508287</v>
      </c>
      <c r="R217" s="27">
        <f>(1/(2*LOG(3.7*$I217/'Calculation Constants'!$B$2*1000)))^2</f>
        <v>8.7463077071963571E-3</v>
      </c>
      <c r="S217" s="19">
        <f t="shared" si="96"/>
        <v>1.2752477269849725</v>
      </c>
      <c r="T217" s="19">
        <f>IF($H217&gt;0,'Calculation Constants'!$B$9*Hydraulics!$K217^2/2/9.81/MAX($F$4:$F$253)*$H217,"")</f>
        <v>7.8734226558858159E-2</v>
      </c>
      <c r="U217" s="19">
        <f t="shared" si="97"/>
        <v>1.3539819535438307</v>
      </c>
      <c r="V217" s="19">
        <f t="shared" si="85"/>
        <v>0</v>
      </c>
      <c r="W217" s="19">
        <f t="shared" si="86"/>
        <v>85.963884276354747</v>
      </c>
      <c r="X217" s="23">
        <f t="shared" si="98"/>
        <v>1080.0598842763548</v>
      </c>
      <c r="Y217" s="22">
        <f>(1/(2*LOG(3.7*$I217/'Calculation Constants'!$B$3*1000)))^2</f>
        <v>9.8211436332891755E-3</v>
      </c>
      <c r="Z217" s="19">
        <f t="shared" si="87"/>
        <v>1.431963236834217</v>
      </c>
      <c r="AA217" s="19">
        <f>IF($H217&gt;0,'Calculation Constants'!$B$9*Hydraulics!$K217^2/2/9.81/MAX($F$4:$F$253)*$H217,"")</f>
        <v>7.8734226558858159E-2</v>
      </c>
      <c r="AB217" s="19">
        <f t="shared" si="109"/>
        <v>1.5106974633930752</v>
      </c>
      <c r="AC217" s="19">
        <f t="shared" si="88"/>
        <v>0</v>
      </c>
      <c r="AD217" s="19">
        <f t="shared" si="99"/>
        <v>78.284824293734573</v>
      </c>
      <c r="AE217" s="23">
        <f t="shared" si="100"/>
        <v>1072.3808242937346</v>
      </c>
      <c r="AF217" s="27">
        <f>(1/(2*LOG(3.7*$I217/'Calculation Constants'!$B$4*1000)))^2</f>
        <v>1.1575055557914658E-2</v>
      </c>
      <c r="AG217" s="19">
        <f t="shared" si="89"/>
        <v>1.6876908272744866</v>
      </c>
      <c r="AH217" s="19">
        <f>IF($H217&gt;0,'Calculation Constants'!$B$9*Hydraulics!$K217^2/2/9.81/MAX($F$4:$F$253)*$H217,"")</f>
        <v>7.8734226558858159E-2</v>
      </c>
      <c r="AI217" s="19">
        <f t="shared" si="101"/>
        <v>1.7664250538333448</v>
      </c>
      <c r="AJ217" s="19">
        <f t="shared" si="90"/>
        <v>0</v>
      </c>
      <c r="AK217" s="19">
        <f t="shared" si="102"/>
        <v>65.754172362170948</v>
      </c>
      <c r="AL217" s="23">
        <f t="shared" si="103"/>
        <v>1059.850172362171</v>
      </c>
      <c r="AM217" s="22">
        <f>(1/(2*LOG(3.7*($I217-0.008)/'Calculation Constants'!$B$5*1000)))^2</f>
        <v>1.4709705891825043E-2</v>
      </c>
      <c r="AN217" s="19">
        <f t="shared" si="104"/>
        <v>2.1543104841910781</v>
      </c>
      <c r="AO217" s="19">
        <f>IF($H217&gt;0,'Calculation Constants'!$B$9*Hydraulics!$K217^2/2/9.81/MAX($F$4:$F$253)*$H217,"")</f>
        <v>7.8734226558858159E-2</v>
      </c>
      <c r="AP217" s="19">
        <f t="shared" si="105"/>
        <v>2.2330447107499363</v>
      </c>
      <c r="AQ217" s="19">
        <f t="shared" si="91"/>
        <v>0</v>
      </c>
      <c r="AR217" s="19">
        <f t="shared" si="106"/>
        <v>42.88980917325307</v>
      </c>
      <c r="AS217" s="23">
        <f t="shared" si="107"/>
        <v>1036.9858091732531</v>
      </c>
    </row>
    <row r="218" spans="5:45">
      <c r="E218" s="35" t="str">
        <f t="shared" si="92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8"/>
        <v>2</v>
      </c>
      <c r="I218" s="19">
        <v>1.8</v>
      </c>
      <c r="J218" s="36">
        <f>'Flow Rate Calculations'!$B$7</f>
        <v>4.0831050228310497</v>
      </c>
      <c r="K218" s="36">
        <f t="shared" si="93"/>
        <v>1.6045588828318709</v>
      </c>
      <c r="L218" s="37">
        <f>$I218*$K218/'Calculation Constants'!$B$7</f>
        <v>2555934.503625989</v>
      </c>
      <c r="M218" s="37">
        <f t="shared" si="94"/>
        <v>154.70999999999992</v>
      </c>
      <c r="N218" s="23">
        <f t="shared" si="95"/>
        <v>87.010902322810921</v>
      </c>
      <c r="O218" s="57">
        <f t="shared" si="83"/>
        <v>154.70999999999992</v>
      </c>
      <c r="P218" s="66">
        <f>MAX(I218*1000/'Calculation Constants'!$B$14,O218*10*I218*1000/2/('Calculation Constants'!$B$12*1000*'Calculation Constants'!$B$13))</f>
        <v>11.25</v>
      </c>
      <c r="Q218" s="68">
        <f t="shared" si="84"/>
        <v>992548.40161508287</v>
      </c>
      <c r="R218" s="27">
        <f>(1/(2*LOG(3.7*$I218/'Calculation Constants'!$B$2*1000)))^2</f>
        <v>8.7463077071963571E-3</v>
      </c>
      <c r="S218" s="19">
        <f t="shared" si="96"/>
        <v>1.2752477269849725</v>
      </c>
      <c r="T218" s="19">
        <f>IF($H218&gt;0,'Calculation Constants'!$B$9*Hydraulics!$K218^2/2/9.81/MAX($F$4:$F$253)*$H218,"")</f>
        <v>7.8734226558858159E-2</v>
      </c>
      <c r="U218" s="19">
        <f t="shared" si="97"/>
        <v>1.3539819535438307</v>
      </c>
      <c r="V218" s="19">
        <f t="shared" si="85"/>
        <v>0</v>
      </c>
      <c r="W218" s="19">
        <f t="shared" si="86"/>
        <v>87.010902322810921</v>
      </c>
      <c r="X218" s="23">
        <f t="shared" si="98"/>
        <v>1078.705902322811</v>
      </c>
      <c r="Y218" s="22">
        <f>(1/(2*LOG(3.7*$I218/'Calculation Constants'!$B$3*1000)))^2</f>
        <v>9.8211436332891755E-3</v>
      </c>
      <c r="Z218" s="19">
        <f t="shared" si="87"/>
        <v>1.431963236834217</v>
      </c>
      <c r="AA218" s="19">
        <f>IF($H218&gt;0,'Calculation Constants'!$B$9*Hydraulics!$K218^2/2/9.81/MAX($F$4:$F$253)*$H218,"")</f>
        <v>7.8734226558858159E-2</v>
      </c>
      <c r="AB218" s="19">
        <f t="shared" si="109"/>
        <v>1.5106974633930752</v>
      </c>
      <c r="AC218" s="19">
        <f t="shared" si="88"/>
        <v>0</v>
      </c>
      <c r="AD218" s="19">
        <f t="shared" si="99"/>
        <v>79.175126830341355</v>
      </c>
      <c r="AE218" s="23">
        <f t="shared" si="100"/>
        <v>1070.8701268303414</v>
      </c>
      <c r="AF218" s="27">
        <f>(1/(2*LOG(3.7*$I218/'Calculation Constants'!$B$4*1000)))^2</f>
        <v>1.1575055557914658E-2</v>
      </c>
      <c r="AG218" s="19">
        <f t="shared" si="89"/>
        <v>1.6876908272744866</v>
      </c>
      <c r="AH218" s="19">
        <f>IF($H218&gt;0,'Calculation Constants'!$B$9*Hydraulics!$K218^2/2/9.81/MAX($F$4:$F$253)*$H218,"")</f>
        <v>7.8734226558858159E-2</v>
      </c>
      <c r="AI218" s="19">
        <f t="shared" si="101"/>
        <v>1.7664250538333448</v>
      </c>
      <c r="AJ218" s="19">
        <f t="shared" si="90"/>
        <v>0</v>
      </c>
      <c r="AK218" s="19">
        <f t="shared" si="102"/>
        <v>66.388747308337656</v>
      </c>
      <c r="AL218" s="23">
        <f t="shared" si="103"/>
        <v>1058.0837473083377</v>
      </c>
      <c r="AM218" s="22">
        <f>(1/(2*LOG(3.7*($I218-0.008)/'Calculation Constants'!$B$5*1000)))^2</f>
        <v>1.4709705891825043E-2</v>
      </c>
      <c r="AN218" s="19">
        <f t="shared" si="104"/>
        <v>2.1543104841910781</v>
      </c>
      <c r="AO218" s="19">
        <f>IF($H218&gt;0,'Calculation Constants'!$B$9*Hydraulics!$K218^2/2/9.81/MAX($F$4:$F$253)*$H218,"")</f>
        <v>7.8734226558858159E-2</v>
      </c>
      <c r="AP218" s="19">
        <f t="shared" si="105"/>
        <v>2.2330447107499363</v>
      </c>
      <c r="AQ218" s="19">
        <f t="shared" si="91"/>
        <v>0</v>
      </c>
      <c r="AR218" s="19">
        <f t="shared" si="106"/>
        <v>43.057764462503087</v>
      </c>
      <c r="AS218" s="23">
        <f t="shared" si="107"/>
        <v>1034.7527644625031</v>
      </c>
    </row>
    <row r="219" spans="5:45">
      <c r="E219" s="35" t="str">
        <f t="shared" si="92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8"/>
        <v>2</v>
      </c>
      <c r="I219" s="19">
        <v>1.8</v>
      </c>
      <c r="J219" s="36">
        <f>'Flow Rate Calculations'!$B$7</f>
        <v>4.0831050228310497</v>
      </c>
      <c r="K219" s="36">
        <f t="shared" si="93"/>
        <v>1.6045588828318709</v>
      </c>
      <c r="L219" s="37">
        <f>$I219*$K219/'Calculation Constants'!$B$7</f>
        <v>2555934.503625989</v>
      </c>
      <c r="M219" s="37">
        <f t="shared" si="94"/>
        <v>161.47199999999998</v>
      </c>
      <c r="N219" s="23">
        <f t="shared" si="95"/>
        <v>92.418920369267198</v>
      </c>
      <c r="O219" s="57">
        <f t="shared" si="83"/>
        <v>161.47199999999998</v>
      </c>
      <c r="P219" s="66">
        <f>MAX(I219*1000/'Calculation Constants'!$B$14,O219*10*I219*1000/2/('Calculation Constants'!$B$12*1000*'Calculation Constants'!$B$13))</f>
        <v>11.25</v>
      </c>
      <c r="Q219" s="68">
        <f t="shared" si="84"/>
        <v>992548.40161508287</v>
      </c>
      <c r="R219" s="27">
        <f>(1/(2*LOG(3.7*$I219/'Calculation Constants'!$B$2*1000)))^2</f>
        <v>8.7463077071963571E-3</v>
      </c>
      <c r="S219" s="19">
        <f t="shared" si="96"/>
        <v>1.2752477269849725</v>
      </c>
      <c r="T219" s="19">
        <f>IF($H219&gt;0,'Calculation Constants'!$B$9*Hydraulics!$K219^2/2/9.81/MAX($F$4:$F$253)*$H219,"")</f>
        <v>7.8734226558858159E-2</v>
      </c>
      <c r="U219" s="19">
        <f t="shared" si="97"/>
        <v>1.3539819535438307</v>
      </c>
      <c r="V219" s="19">
        <f t="shared" si="85"/>
        <v>0</v>
      </c>
      <c r="W219" s="19">
        <f t="shared" si="86"/>
        <v>92.418920369267198</v>
      </c>
      <c r="X219" s="23">
        <f t="shared" si="98"/>
        <v>1077.3519203692672</v>
      </c>
      <c r="Y219" s="22">
        <f>(1/(2*LOG(3.7*$I219/'Calculation Constants'!$B$3*1000)))^2</f>
        <v>9.8211436332891755E-3</v>
      </c>
      <c r="Z219" s="19">
        <f t="shared" si="87"/>
        <v>1.431963236834217</v>
      </c>
      <c r="AA219" s="19">
        <f>IF($H219&gt;0,'Calculation Constants'!$B$9*Hydraulics!$K219^2/2/9.81/MAX($F$4:$F$253)*$H219,"")</f>
        <v>7.8734226558858159E-2</v>
      </c>
      <c r="AB219" s="19">
        <f t="shared" si="109"/>
        <v>1.5106974633930752</v>
      </c>
      <c r="AC219" s="19">
        <f t="shared" si="88"/>
        <v>0</v>
      </c>
      <c r="AD219" s="19">
        <f t="shared" si="99"/>
        <v>84.426429366948241</v>
      </c>
      <c r="AE219" s="23">
        <f t="shared" si="100"/>
        <v>1069.3594293669482</v>
      </c>
      <c r="AF219" s="27">
        <f>(1/(2*LOG(3.7*$I219/'Calculation Constants'!$B$4*1000)))^2</f>
        <v>1.1575055557914658E-2</v>
      </c>
      <c r="AG219" s="19">
        <f t="shared" si="89"/>
        <v>1.6876908272744866</v>
      </c>
      <c r="AH219" s="19">
        <f>IF($H219&gt;0,'Calculation Constants'!$B$9*Hydraulics!$K219^2/2/9.81/MAX($F$4:$F$253)*$H219,"")</f>
        <v>7.8734226558858159E-2</v>
      </c>
      <c r="AI219" s="19">
        <f t="shared" si="101"/>
        <v>1.7664250538333448</v>
      </c>
      <c r="AJ219" s="19">
        <f t="shared" si="90"/>
        <v>0</v>
      </c>
      <c r="AK219" s="19">
        <f t="shared" si="102"/>
        <v>71.384322254504468</v>
      </c>
      <c r="AL219" s="23">
        <f t="shared" si="103"/>
        <v>1056.3173222545045</v>
      </c>
      <c r="AM219" s="22">
        <f>(1/(2*LOG(3.7*($I219-0.008)/'Calculation Constants'!$B$5*1000)))^2</f>
        <v>1.4709705891825043E-2</v>
      </c>
      <c r="AN219" s="19">
        <f t="shared" si="104"/>
        <v>2.1543104841910781</v>
      </c>
      <c r="AO219" s="19">
        <f>IF($H219&gt;0,'Calculation Constants'!$B$9*Hydraulics!$K219^2/2/9.81/MAX($F$4:$F$253)*$H219,"")</f>
        <v>7.8734226558858159E-2</v>
      </c>
      <c r="AP219" s="19">
        <f t="shared" si="105"/>
        <v>2.2330447107499363</v>
      </c>
      <c r="AQ219" s="19">
        <f t="shared" si="91"/>
        <v>0</v>
      </c>
      <c r="AR219" s="19">
        <f t="shared" si="106"/>
        <v>47.586719751753208</v>
      </c>
      <c r="AS219" s="23">
        <f t="shared" si="107"/>
        <v>1032.5197197517532</v>
      </c>
    </row>
    <row r="220" spans="5:45">
      <c r="E220" s="35" t="str">
        <f t="shared" si="92"/>
        <v/>
      </c>
      <c r="F220" s="19">
        <f>'Profile data'!A220</f>
        <v>434</v>
      </c>
      <c r="G220" s="19">
        <f>VLOOKUP(F220,'Profile data'!A220:C479,IF($B$22="Botswana 1",2,3))</f>
        <v>974.50900000000001</v>
      </c>
      <c r="H220" s="19">
        <f t="shared" si="108"/>
        <v>2</v>
      </c>
      <c r="I220" s="19">
        <v>1.8</v>
      </c>
      <c r="J220" s="36">
        <f>'Flow Rate Calculations'!$B$7</f>
        <v>4.0831050228310497</v>
      </c>
      <c r="K220" s="36">
        <f t="shared" si="93"/>
        <v>1.6045588828318709</v>
      </c>
      <c r="L220" s="37">
        <f>$I220*$K220/'Calculation Constants'!$B$7</f>
        <v>2555934.503625989</v>
      </c>
      <c r="M220" s="37">
        <f t="shared" si="94"/>
        <v>171.89599999999996</v>
      </c>
      <c r="N220" s="23">
        <f t="shared" si="95"/>
        <v>101.4889384157234</v>
      </c>
      <c r="O220" s="57">
        <f t="shared" si="83"/>
        <v>171.89599999999996</v>
      </c>
      <c r="P220" s="66">
        <f>MAX(I220*1000/'Calculation Constants'!$B$14,O220*10*I220*1000/2/('Calculation Constants'!$B$12*1000*'Calculation Constants'!$B$13))</f>
        <v>11.25</v>
      </c>
      <c r="Q220" s="68">
        <f t="shared" si="84"/>
        <v>992548.40161508287</v>
      </c>
      <c r="R220" s="27">
        <f>(1/(2*LOG(3.7*$I220/'Calculation Constants'!$B$2*1000)))^2</f>
        <v>8.7463077071963571E-3</v>
      </c>
      <c r="S220" s="19">
        <f t="shared" si="96"/>
        <v>1.2752477269849725</v>
      </c>
      <c r="T220" s="19">
        <f>IF($H220&gt;0,'Calculation Constants'!$B$9*Hydraulics!$K220^2/2/9.81/MAX($F$4:$F$253)*$H220,"")</f>
        <v>7.8734226558858159E-2</v>
      </c>
      <c r="U220" s="19">
        <f t="shared" si="97"/>
        <v>1.3539819535438307</v>
      </c>
      <c r="V220" s="19">
        <f t="shared" si="85"/>
        <v>0</v>
      </c>
      <c r="W220" s="19">
        <f t="shared" si="86"/>
        <v>101.4889384157234</v>
      </c>
      <c r="X220" s="23">
        <f t="shared" si="98"/>
        <v>1075.9979384157234</v>
      </c>
      <c r="Y220" s="22">
        <f>(1/(2*LOG(3.7*$I220/'Calculation Constants'!$B$3*1000)))^2</f>
        <v>9.8211436332891755E-3</v>
      </c>
      <c r="Z220" s="19">
        <f t="shared" si="87"/>
        <v>1.431963236834217</v>
      </c>
      <c r="AA220" s="19">
        <f>IF($H220&gt;0,'Calculation Constants'!$B$9*Hydraulics!$K220^2/2/9.81/MAX($F$4:$F$253)*$H220,"")</f>
        <v>7.8734226558858159E-2</v>
      </c>
      <c r="AB220" s="19">
        <f t="shared" si="109"/>
        <v>1.5106974633930752</v>
      </c>
      <c r="AC220" s="19">
        <f t="shared" si="88"/>
        <v>0</v>
      </c>
      <c r="AD220" s="19">
        <f t="shared" si="99"/>
        <v>93.339731903555048</v>
      </c>
      <c r="AE220" s="23">
        <f t="shared" si="100"/>
        <v>1067.8487319035551</v>
      </c>
      <c r="AF220" s="27">
        <f>(1/(2*LOG(3.7*$I220/'Calculation Constants'!$B$4*1000)))^2</f>
        <v>1.1575055557914658E-2</v>
      </c>
      <c r="AG220" s="19">
        <f t="shared" si="89"/>
        <v>1.6876908272744866</v>
      </c>
      <c r="AH220" s="19">
        <f>IF($H220&gt;0,'Calculation Constants'!$B$9*Hydraulics!$K220^2/2/9.81/MAX($F$4:$F$253)*$H220,"")</f>
        <v>7.8734226558858159E-2</v>
      </c>
      <c r="AI220" s="19">
        <f t="shared" si="101"/>
        <v>1.7664250538333448</v>
      </c>
      <c r="AJ220" s="19">
        <f t="shared" si="90"/>
        <v>0</v>
      </c>
      <c r="AK220" s="19">
        <f t="shared" si="102"/>
        <v>80.041897200671201</v>
      </c>
      <c r="AL220" s="23">
        <f t="shared" si="103"/>
        <v>1054.5508972006712</v>
      </c>
      <c r="AM220" s="22">
        <f>(1/(2*LOG(3.7*($I220-0.008)/'Calculation Constants'!$B$5*1000)))^2</f>
        <v>1.4709705891825043E-2</v>
      </c>
      <c r="AN220" s="19">
        <f t="shared" si="104"/>
        <v>2.1543104841910781</v>
      </c>
      <c r="AO220" s="19">
        <f>IF($H220&gt;0,'Calculation Constants'!$B$9*Hydraulics!$K220^2/2/9.81/MAX($F$4:$F$253)*$H220,"")</f>
        <v>7.8734226558858159E-2</v>
      </c>
      <c r="AP220" s="19">
        <f t="shared" si="105"/>
        <v>2.2330447107499363</v>
      </c>
      <c r="AQ220" s="19">
        <f t="shared" si="91"/>
        <v>0</v>
      </c>
      <c r="AR220" s="19">
        <f t="shared" si="106"/>
        <v>55.777675041003249</v>
      </c>
      <c r="AS220" s="23">
        <f t="shared" si="107"/>
        <v>1030.2866750410033</v>
      </c>
    </row>
    <row r="221" spans="5:45">
      <c r="E221" s="35" t="str">
        <f t="shared" si="92"/>
        <v/>
      </c>
      <c r="F221" s="19">
        <f>'Profile data'!A221</f>
        <v>436</v>
      </c>
      <c r="G221" s="19">
        <f>VLOOKUP(F221,'Profile data'!A221:C480,IF($B$22="Botswana 1",2,3))</f>
        <v>966.69799999999998</v>
      </c>
      <c r="H221" s="19">
        <f t="shared" si="108"/>
        <v>2</v>
      </c>
      <c r="I221" s="19">
        <v>1.8</v>
      </c>
      <c r="J221" s="36">
        <f>'Flow Rate Calculations'!$B$7</f>
        <v>4.0831050228310497</v>
      </c>
      <c r="K221" s="36">
        <f t="shared" si="93"/>
        <v>1.6045588828318709</v>
      </c>
      <c r="L221" s="37">
        <f>$I221*$K221/'Calculation Constants'!$B$7</f>
        <v>2555934.503625989</v>
      </c>
      <c r="M221" s="37">
        <f t="shared" si="94"/>
        <v>179.70699999999999</v>
      </c>
      <c r="N221" s="23">
        <f t="shared" si="95"/>
        <v>107.94595646217965</v>
      </c>
      <c r="O221" s="57">
        <f t="shared" si="83"/>
        <v>179.70699999999999</v>
      </c>
      <c r="P221" s="66">
        <f>MAX(I221*1000/'Calculation Constants'!$B$14,O221*10*I221*1000/2/('Calculation Constants'!$B$12*1000*'Calculation Constants'!$B$13))</f>
        <v>11.25</v>
      </c>
      <c r="Q221" s="68">
        <f t="shared" si="84"/>
        <v>992548.40161508287</v>
      </c>
      <c r="R221" s="27">
        <f>(1/(2*LOG(3.7*$I221/'Calculation Constants'!$B$2*1000)))^2</f>
        <v>8.7463077071963571E-3</v>
      </c>
      <c r="S221" s="19">
        <f t="shared" si="96"/>
        <v>1.2752477269849725</v>
      </c>
      <c r="T221" s="19">
        <f>IF($H221&gt;0,'Calculation Constants'!$B$9*Hydraulics!$K221^2/2/9.81/MAX($F$4:$F$253)*$H221,"")</f>
        <v>7.8734226558858159E-2</v>
      </c>
      <c r="U221" s="19">
        <f t="shared" si="97"/>
        <v>1.3539819535438307</v>
      </c>
      <c r="V221" s="19">
        <f t="shared" si="85"/>
        <v>0</v>
      </c>
      <c r="W221" s="19">
        <f t="shared" si="86"/>
        <v>107.94595646217965</v>
      </c>
      <c r="X221" s="23">
        <f t="shared" si="98"/>
        <v>1074.6439564621796</v>
      </c>
      <c r="Y221" s="22">
        <f>(1/(2*LOG(3.7*$I221/'Calculation Constants'!$B$3*1000)))^2</f>
        <v>9.8211436332891755E-3</v>
      </c>
      <c r="Z221" s="19">
        <f t="shared" si="87"/>
        <v>1.431963236834217</v>
      </c>
      <c r="AA221" s="19">
        <f>IF($H221&gt;0,'Calculation Constants'!$B$9*Hydraulics!$K221^2/2/9.81/MAX($F$4:$F$253)*$H221,"")</f>
        <v>7.8734226558858159E-2</v>
      </c>
      <c r="AB221" s="19">
        <f t="shared" si="109"/>
        <v>1.5106974633930752</v>
      </c>
      <c r="AC221" s="19">
        <f t="shared" si="88"/>
        <v>0</v>
      </c>
      <c r="AD221" s="19">
        <f t="shared" si="99"/>
        <v>99.640034440161912</v>
      </c>
      <c r="AE221" s="23">
        <f t="shared" si="100"/>
        <v>1066.3380344401619</v>
      </c>
      <c r="AF221" s="27">
        <f>(1/(2*LOG(3.7*$I221/'Calculation Constants'!$B$4*1000)))^2</f>
        <v>1.1575055557914658E-2</v>
      </c>
      <c r="AG221" s="19">
        <f t="shared" si="89"/>
        <v>1.6876908272744866</v>
      </c>
      <c r="AH221" s="19">
        <f>IF($H221&gt;0,'Calculation Constants'!$B$9*Hydraulics!$K221^2/2/9.81/MAX($F$4:$F$253)*$H221,"")</f>
        <v>7.8734226558858159E-2</v>
      </c>
      <c r="AI221" s="19">
        <f t="shared" si="101"/>
        <v>1.7664250538333448</v>
      </c>
      <c r="AJ221" s="19">
        <f t="shared" si="90"/>
        <v>0</v>
      </c>
      <c r="AK221" s="19">
        <f t="shared" si="102"/>
        <v>86.086472146837991</v>
      </c>
      <c r="AL221" s="23">
        <f t="shared" si="103"/>
        <v>1052.784472146838</v>
      </c>
      <c r="AM221" s="22">
        <f>(1/(2*LOG(3.7*($I221-0.008)/'Calculation Constants'!$B$5*1000)))^2</f>
        <v>1.4709705891825043E-2</v>
      </c>
      <c r="AN221" s="19">
        <f t="shared" si="104"/>
        <v>2.1543104841910781</v>
      </c>
      <c r="AO221" s="19">
        <f>IF($H221&gt;0,'Calculation Constants'!$B$9*Hydraulics!$K221^2/2/9.81/MAX($F$4:$F$253)*$H221,"")</f>
        <v>7.8734226558858159E-2</v>
      </c>
      <c r="AP221" s="19">
        <f t="shared" si="105"/>
        <v>2.2330447107499363</v>
      </c>
      <c r="AQ221" s="19">
        <f t="shared" si="91"/>
        <v>0</v>
      </c>
      <c r="AR221" s="19">
        <f t="shared" si="106"/>
        <v>61.355630330253348</v>
      </c>
      <c r="AS221" s="23">
        <f t="shared" si="107"/>
        <v>1028.0536303302533</v>
      </c>
    </row>
    <row r="222" spans="5:45">
      <c r="E222" s="35" t="str">
        <f t="shared" si="92"/>
        <v/>
      </c>
      <c r="F222" s="19">
        <f>'Profile data'!A222</f>
        <v>438</v>
      </c>
      <c r="G222" s="19">
        <f>VLOOKUP(F222,'Profile data'!A222:C481,IF($B$22="Botswana 1",2,3))</f>
        <v>963.61800000000005</v>
      </c>
      <c r="H222" s="19">
        <f t="shared" si="108"/>
        <v>2</v>
      </c>
      <c r="I222" s="19">
        <v>1.8</v>
      </c>
      <c r="J222" s="36">
        <f>'Flow Rate Calculations'!$B$7</f>
        <v>4.0831050228310497</v>
      </c>
      <c r="K222" s="36">
        <f t="shared" si="93"/>
        <v>1.6045588828318709</v>
      </c>
      <c r="L222" s="37">
        <f>$I222*$K222/'Calculation Constants'!$B$7</f>
        <v>2555934.503625989</v>
      </c>
      <c r="M222" s="37">
        <f t="shared" si="94"/>
        <v>182.78699999999992</v>
      </c>
      <c r="N222" s="23">
        <f t="shared" si="95"/>
        <v>109.6719745086358</v>
      </c>
      <c r="O222" s="57">
        <f t="shared" si="83"/>
        <v>182.78699999999992</v>
      </c>
      <c r="P222" s="66">
        <f>MAX(I222*1000/'Calculation Constants'!$B$14,O222*10*I222*1000/2/('Calculation Constants'!$B$12*1000*'Calculation Constants'!$B$13))</f>
        <v>11.25</v>
      </c>
      <c r="Q222" s="68">
        <f t="shared" si="84"/>
        <v>992548.40161508287</v>
      </c>
      <c r="R222" s="27">
        <f>(1/(2*LOG(3.7*$I222/'Calculation Constants'!$B$2*1000)))^2</f>
        <v>8.7463077071963571E-3</v>
      </c>
      <c r="S222" s="19">
        <f t="shared" si="96"/>
        <v>1.2752477269849725</v>
      </c>
      <c r="T222" s="19">
        <f>IF($H222&gt;0,'Calculation Constants'!$B$9*Hydraulics!$K222^2/2/9.81/MAX($F$4:$F$253)*$H222,"")</f>
        <v>7.8734226558858159E-2</v>
      </c>
      <c r="U222" s="19">
        <f t="shared" si="97"/>
        <v>1.3539819535438307</v>
      </c>
      <c r="V222" s="19">
        <f t="shared" si="85"/>
        <v>0</v>
      </c>
      <c r="W222" s="19">
        <f t="shared" si="86"/>
        <v>109.6719745086358</v>
      </c>
      <c r="X222" s="23">
        <f t="shared" si="98"/>
        <v>1073.2899745086359</v>
      </c>
      <c r="Y222" s="22">
        <f>(1/(2*LOG(3.7*$I222/'Calculation Constants'!$B$3*1000)))^2</f>
        <v>9.8211436332891755E-3</v>
      </c>
      <c r="Z222" s="19">
        <f t="shared" si="87"/>
        <v>1.431963236834217</v>
      </c>
      <c r="AA222" s="19">
        <f>IF($H222&gt;0,'Calculation Constants'!$B$9*Hydraulics!$K222^2/2/9.81/MAX($F$4:$F$253)*$H222,"")</f>
        <v>7.8734226558858159E-2</v>
      </c>
      <c r="AB222" s="19">
        <f t="shared" si="109"/>
        <v>1.5106974633930752</v>
      </c>
      <c r="AC222" s="19">
        <f t="shared" si="88"/>
        <v>0</v>
      </c>
      <c r="AD222" s="19">
        <f t="shared" si="99"/>
        <v>101.20933697676867</v>
      </c>
      <c r="AE222" s="23">
        <f t="shared" si="100"/>
        <v>1064.8273369767687</v>
      </c>
      <c r="AF222" s="27">
        <f>(1/(2*LOG(3.7*$I222/'Calculation Constants'!$B$4*1000)))^2</f>
        <v>1.1575055557914658E-2</v>
      </c>
      <c r="AG222" s="19">
        <f t="shared" si="89"/>
        <v>1.6876908272744866</v>
      </c>
      <c r="AH222" s="19">
        <f>IF($H222&gt;0,'Calculation Constants'!$B$9*Hydraulics!$K222^2/2/9.81/MAX($F$4:$F$253)*$H222,"")</f>
        <v>7.8734226558858159E-2</v>
      </c>
      <c r="AI222" s="19">
        <f t="shared" si="101"/>
        <v>1.7664250538333448</v>
      </c>
      <c r="AJ222" s="19">
        <f t="shared" si="90"/>
        <v>0</v>
      </c>
      <c r="AK222" s="19">
        <f t="shared" si="102"/>
        <v>87.400047093004673</v>
      </c>
      <c r="AL222" s="23">
        <f t="shared" si="103"/>
        <v>1051.0180470930047</v>
      </c>
      <c r="AM222" s="22">
        <f>(1/(2*LOG(3.7*($I222-0.008)/'Calculation Constants'!$B$5*1000)))^2</f>
        <v>1.4709705891825043E-2</v>
      </c>
      <c r="AN222" s="19">
        <f t="shared" si="104"/>
        <v>2.1543104841910781</v>
      </c>
      <c r="AO222" s="19">
        <f>IF($H222&gt;0,'Calculation Constants'!$B$9*Hydraulics!$K222^2/2/9.81/MAX($F$4:$F$253)*$H222,"")</f>
        <v>7.8734226558858159E-2</v>
      </c>
      <c r="AP222" s="19">
        <f t="shared" si="105"/>
        <v>2.2330447107499363</v>
      </c>
      <c r="AQ222" s="19">
        <f t="shared" si="91"/>
        <v>0</v>
      </c>
      <c r="AR222" s="19">
        <f t="shared" si="106"/>
        <v>62.202585619503338</v>
      </c>
      <c r="AS222" s="23">
        <f t="shared" si="107"/>
        <v>1025.8205856195034</v>
      </c>
    </row>
    <row r="223" spans="5:45">
      <c r="E223" s="35" t="str">
        <f t="shared" si="92"/>
        <v/>
      </c>
      <c r="F223" s="19">
        <f>'Profile data'!A223</f>
        <v>440</v>
      </c>
      <c r="G223" s="19">
        <f>VLOOKUP(F223,'Profile data'!A223:C482,IF($B$22="Botswana 1",2,3))</f>
        <v>957.803</v>
      </c>
      <c r="H223" s="19">
        <f t="shared" si="108"/>
        <v>2</v>
      </c>
      <c r="I223" s="19">
        <v>1.8</v>
      </c>
      <c r="J223" s="36">
        <f>'Flow Rate Calculations'!$B$7</f>
        <v>4.0831050228310497</v>
      </c>
      <c r="K223" s="36">
        <f t="shared" si="93"/>
        <v>1.6045588828318709</v>
      </c>
      <c r="L223" s="37">
        <f>$I223*$K223/'Calculation Constants'!$B$7</f>
        <v>2555934.503625989</v>
      </c>
      <c r="M223" s="37">
        <f t="shared" si="94"/>
        <v>188.60199999999998</v>
      </c>
      <c r="N223" s="23">
        <f t="shared" si="95"/>
        <v>114.13299255509207</v>
      </c>
      <c r="O223" s="57">
        <f t="shared" si="83"/>
        <v>188.60199999999998</v>
      </c>
      <c r="P223" s="66">
        <f>MAX(I223*1000/'Calculation Constants'!$B$14,O223*10*I223*1000/2/('Calculation Constants'!$B$12*1000*'Calculation Constants'!$B$13))</f>
        <v>11.31612</v>
      </c>
      <c r="Q223" s="68">
        <f t="shared" si="84"/>
        <v>998345.03487083467</v>
      </c>
      <c r="R223" s="27">
        <f>(1/(2*LOG(3.7*$I223/'Calculation Constants'!$B$2*1000)))^2</f>
        <v>8.7463077071963571E-3</v>
      </c>
      <c r="S223" s="19">
        <f t="shared" si="96"/>
        <v>1.2752477269849725</v>
      </c>
      <c r="T223" s="19">
        <f>IF($H223&gt;0,'Calculation Constants'!$B$9*Hydraulics!$K223^2/2/9.81/MAX($F$4:$F$253)*$H223,"")</f>
        <v>7.8734226558858159E-2</v>
      </c>
      <c r="U223" s="19">
        <f t="shared" si="97"/>
        <v>1.3539819535438307</v>
      </c>
      <c r="V223" s="19">
        <f t="shared" si="85"/>
        <v>0</v>
      </c>
      <c r="W223" s="19">
        <f t="shared" si="86"/>
        <v>114.13299255509207</v>
      </c>
      <c r="X223" s="23">
        <f t="shared" si="98"/>
        <v>1071.9359925550921</v>
      </c>
      <c r="Y223" s="22">
        <f>(1/(2*LOG(3.7*$I223/'Calculation Constants'!$B$3*1000)))^2</f>
        <v>9.8211436332891755E-3</v>
      </c>
      <c r="Z223" s="19">
        <f t="shared" si="87"/>
        <v>1.431963236834217</v>
      </c>
      <c r="AA223" s="19">
        <f>IF($H223&gt;0,'Calculation Constants'!$B$9*Hydraulics!$K223^2/2/9.81/MAX($F$4:$F$253)*$H223,"")</f>
        <v>7.8734226558858159E-2</v>
      </c>
      <c r="AB223" s="19">
        <f t="shared" si="109"/>
        <v>1.5106974633930752</v>
      </c>
      <c r="AC223" s="19">
        <f t="shared" si="88"/>
        <v>0</v>
      </c>
      <c r="AD223" s="19">
        <f t="shared" si="99"/>
        <v>105.51363951337555</v>
      </c>
      <c r="AE223" s="23">
        <f t="shared" si="100"/>
        <v>1063.3166395133755</v>
      </c>
      <c r="AF223" s="27">
        <f>(1/(2*LOG(3.7*$I223/'Calculation Constants'!$B$4*1000)))^2</f>
        <v>1.1575055557914658E-2</v>
      </c>
      <c r="AG223" s="19">
        <f t="shared" si="89"/>
        <v>1.6876908272744866</v>
      </c>
      <c r="AH223" s="19">
        <f>IF($H223&gt;0,'Calculation Constants'!$B$9*Hydraulics!$K223^2/2/9.81/MAX($F$4:$F$253)*$H223,"")</f>
        <v>7.8734226558858159E-2</v>
      </c>
      <c r="AI223" s="19">
        <f t="shared" si="101"/>
        <v>1.7664250538333448</v>
      </c>
      <c r="AJ223" s="19">
        <f t="shared" si="90"/>
        <v>0</v>
      </c>
      <c r="AK223" s="19">
        <f t="shared" si="102"/>
        <v>91.448622039171482</v>
      </c>
      <c r="AL223" s="23">
        <f t="shared" si="103"/>
        <v>1049.2516220391715</v>
      </c>
      <c r="AM223" s="22">
        <f>(1/(2*LOG(3.7*($I223-0.008)/'Calculation Constants'!$B$5*1000)))^2</f>
        <v>1.4709705891825043E-2</v>
      </c>
      <c r="AN223" s="19">
        <f t="shared" si="104"/>
        <v>2.1543104841910781</v>
      </c>
      <c r="AO223" s="19">
        <f>IF($H223&gt;0,'Calculation Constants'!$B$9*Hydraulics!$K223^2/2/9.81/MAX($F$4:$F$253)*$H223,"")</f>
        <v>7.8734226558858159E-2</v>
      </c>
      <c r="AP223" s="19">
        <f t="shared" si="105"/>
        <v>2.2330447107499363</v>
      </c>
      <c r="AQ223" s="19">
        <f t="shared" si="91"/>
        <v>0</v>
      </c>
      <c r="AR223" s="19">
        <f t="shared" si="106"/>
        <v>65.784540908753456</v>
      </c>
      <c r="AS223" s="23">
        <f t="shared" si="107"/>
        <v>1023.5875409087535</v>
      </c>
    </row>
    <row r="224" spans="5:45">
      <c r="E224" s="35" t="str">
        <f t="shared" si="92"/>
        <v/>
      </c>
      <c r="F224" s="19">
        <f>'Profile data'!A224</f>
        <v>442</v>
      </c>
      <c r="G224" s="19">
        <f>VLOOKUP(F224,'Profile data'!A224:C483,IF($B$22="Botswana 1",2,3))</f>
        <v>954.27700000000004</v>
      </c>
      <c r="H224" s="19">
        <f t="shared" si="108"/>
        <v>2</v>
      </c>
      <c r="I224" s="19">
        <v>1.8</v>
      </c>
      <c r="J224" s="36">
        <f>'Flow Rate Calculations'!$B$7</f>
        <v>4.0831050228310497</v>
      </c>
      <c r="K224" s="36">
        <f t="shared" si="93"/>
        <v>1.6045588828318709</v>
      </c>
      <c r="L224" s="37">
        <f>$I224*$K224/'Calculation Constants'!$B$7</f>
        <v>2555934.503625989</v>
      </c>
      <c r="M224" s="37">
        <f t="shared" si="94"/>
        <v>192.12799999999993</v>
      </c>
      <c r="N224" s="23">
        <f t="shared" si="95"/>
        <v>116.30501060154825</v>
      </c>
      <c r="O224" s="57">
        <f t="shared" si="83"/>
        <v>192.12799999999993</v>
      </c>
      <c r="P224" s="66">
        <f>MAX(I224*1000/'Calculation Constants'!$B$14,O224*10*I224*1000/2/('Calculation Constants'!$B$12*1000*'Calculation Constants'!$B$13))</f>
        <v>11.527679999999995</v>
      </c>
      <c r="Q224" s="68">
        <f t="shared" si="84"/>
        <v>1016889.2597198301</v>
      </c>
      <c r="R224" s="27">
        <f>(1/(2*LOG(3.7*$I224/'Calculation Constants'!$B$2*1000)))^2</f>
        <v>8.7463077071963571E-3</v>
      </c>
      <c r="S224" s="19">
        <f t="shared" si="96"/>
        <v>1.2752477269849725</v>
      </c>
      <c r="T224" s="19">
        <f>IF($H224&gt;0,'Calculation Constants'!$B$9*Hydraulics!$K224^2/2/9.81/MAX($F$4:$F$253)*$H224,"")</f>
        <v>7.8734226558858159E-2</v>
      </c>
      <c r="U224" s="19">
        <f t="shared" si="97"/>
        <v>1.3539819535438307</v>
      </c>
      <c r="V224" s="19">
        <f t="shared" si="85"/>
        <v>0</v>
      </c>
      <c r="W224" s="19">
        <f t="shared" si="86"/>
        <v>116.30501060154825</v>
      </c>
      <c r="X224" s="23">
        <f t="shared" si="98"/>
        <v>1070.5820106015483</v>
      </c>
      <c r="Y224" s="22">
        <f>(1/(2*LOG(3.7*$I224/'Calculation Constants'!$B$3*1000)))^2</f>
        <v>9.8211436332891755E-3</v>
      </c>
      <c r="Z224" s="19">
        <f t="shared" si="87"/>
        <v>1.431963236834217</v>
      </c>
      <c r="AA224" s="19">
        <f>IF($H224&gt;0,'Calculation Constants'!$B$9*Hydraulics!$K224^2/2/9.81/MAX($F$4:$F$253)*$H224,"")</f>
        <v>7.8734226558858159E-2</v>
      </c>
      <c r="AB224" s="19">
        <f t="shared" si="109"/>
        <v>1.5106974633930752</v>
      </c>
      <c r="AC224" s="19">
        <f t="shared" si="88"/>
        <v>0</v>
      </c>
      <c r="AD224" s="19">
        <f t="shared" si="99"/>
        <v>107.52894204998233</v>
      </c>
      <c r="AE224" s="23">
        <f t="shared" si="100"/>
        <v>1061.8059420499824</v>
      </c>
      <c r="AF224" s="27">
        <f>(1/(2*LOG(3.7*$I224/'Calculation Constants'!$B$4*1000)))^2</f>
        <v>1.1575055557914658E-2</v>
      </c>
      <c r="AG224" s="19">
        <f t="shared" si="89"/>
        <v>1.6876908272744866</v>
      </c>
      <c r="AH224" s="19">
        <f>IF($H224&gt;0,'Calculation Constants'!$B$9*Hydraulics!$K224^2/2/9.81/MAX($F$4:$F$253)*$H224,"")</f>
        <v>7.8734226558858159E-2</v>
      </c>
      <c r="AI224" s="19">
        <f t="shared" si="101"/>
        <v>1.7664250538333448</v>
      </c>
      <c r="AJ224" s="19">
        <f t="shared" si="90"/>
        <v>0</v>
      </c>
      <c r="AK224" s="19">
        <f t="shared" si="102"/>
        <v>93.208196985338191</v>
      </c>
      <c r="AL224" s="23">
        <f t="shared" si="103"/>
        <v>1047.4851969853382</v>
      </c>
      <c r="AM224" s="22">
        <f>(1/(2*LOG(3.7*($I224-0.008)/'Calculation Constants'!$B$5*1000)))^2</f>
        <v>1.4709705891825043E-2</v>
      </c>
      <c r="AN224" s="19">
        <f t="shared" si="104"/>
        <v>2.1543104841910781</v>
      </c>
      <c r="AO224" s="19">
        <f>IF($H224&gt;0,'Calculation Constants'!$B$9*Hydraulics!$K224^2/2/9.81/MAX($F$4:$F$253)*$H224,"")</f>
        <v>7.8734226558858159E-2</v>
      </c>
      <c r="AP224" s="19">
        <f t="shared" si="105"/>
        <v>2.2330447107499363</v>
      </c>
      <c r="AQ224" s="19">
        <f t="shared" si="91"/>
        <v>0</v>
      </c>
      <c r="AR224" s="19">
        <f t="shared" si="106"/>
        <v>67.077496198003473</v>
      </c>
      <c r="AS224" s="23">
        <f t="shared" si="107"/>
        <v>1021.3544961980035</v>
      </c>
    </row>
    <row r="225" spans="5:45">
      <c r="E225" s="35" t="str">
        <f t="shared" si="92"/>
        <v/>
      </c>
      <c r="F225" s="19">
        <f>'Profile data'!A225</f>
        <v>444</v>
      </c>
      <c r="G225" s="19">
        <f>VLOOKUP(F225,'Profile data'!A225:C484,IF($B$22="Botswana 1",2,3))</f>
        <v>947.18200000000002</v>
      </c>
      <c r="H225" s="19">
        <f t="shared" si="108"/>
        <v>2</v>
      </c>
      <c r="I225" s="19">
        <v>1.8</v>
      </c>
      <c r="J225" s="36">
        <f>'Flow Rate Calculations'!$B$7</f>
        <v>4.0831050228310497</v>
      </c>
      <c r="K225" s="36">
        <f t="shared" si="93"/>
        <v>1.6045588828318709</v>
      </c>
      <c r="L225" s="37">
        <f>$I225*$K225/'Calculation Constants'!$B$7</f>
        <v>2555934.503625989</v>
      </c>
      <c r="M225" s="37">
        <f t="shared" si="94"/>
        <v>199.22299999999996</v>
      </c>
      <c r="N225" s="23">
        <f t="shared" si="95"/>
        <v>122.04602864800449</v>
      </c>
      <c r="O225" s="57">
        <f t="shared" si="83"/>
        <v>199.22299999999996</v>
      </c>
      <c r="P225" s="66">
        <f>MAX(I225*1000/'Calculation Constants'!$B$14,O225*10*I225*1000/2/('Calculation Constants'!$B$12*1000*'Calculation Constants'!$B$13))</f>
        <v>11.953379999999997</v>
      </c>
      <c r="Q225" s="68">
        <f t="shared" si="84"/>
        <v>1054190.4780786126</v>
      </c>
      <c r="R225" s="27">
        <f>(1/(2*LOG(3.7*$I225/'Calculation Constants'!$B$2*1000)))^2</f>
        <v>8.7463077071963571E-3</v>
      </c>
      <c r="S225" s="19">
        <f t="shared" si="96"/>
        <v>1.2752477269849725</v>
      </c>
      <c r="T225" s="19">
        <f>IF($H225&gt;0,'Calculation Constants'!$B$9*Hydraulics!$K225^2/2/9.81/MAX($F$4:$F$253)*$H225,"")</f>
        <v>7.8734226558858159E-2</v>
      </c>
      <c r="U225" s="19">
        <f t="shared" si="97"/>
        <v>1.3539819535438307</v>
      </c>
      <c r="V225" s="19">
        <f t="shared" si="85"/>
        <v>0</v>
      </c>
      <c r="W225" s="19">
        <f t="shared" si="86"/>
        <v>122.04602864800449</v>
      </c>
      <c r="X225" s="23">
        <f t="shared" si="98"/>
        <v>1069.2280286480045</v>
      </c>
      <c r="Y225" s="22">
        <f>(1/(2*LOG(3.7*$I225/'Calculation Constants'!$B$3*1000)))^2</f>
        <v>9.8211436332891755E-3</v>
      </c>
      <c r="Z225" s="19">
        <f t="shared" si="87"/>
        <v>1.431963236834217</v>
      </c>
      <c r="AA225" s="19">
        <f>IF($H225&gt;0,'Calculation Constants'!$B$9*Hydraulics!$K225^2/2/9.81/MAX($F$4:$F$253)*$H225,"")</f>
        <v>7.8734226558858159E-2</v>
      </c>
      <c r="AB225" s="19">
        <f t="shared" si="109"/>
        <v>1.5106974633930752</v>
      </c>
      <c r="AC225" s="19">
        <f t="shared" si="88"/>
        <v>0</v>
      </c>
      <c r="AD225" s="19">
        <f t="shared" si="99"/>
        <v>113.11324458658919</v>
      </c>
      <c r="AE225" s="23">
        <f t="shared" si="100"/>
        <v>1060.2952445865892</v>
      </c>
      <c r="AF225" s="27">
        <f>(1/(2*LOG(3.7*$I225/'Calculation Constants'!$B$4*1000)))^2</f>
        <v>1.1575055557914658E-2</v>
      </c>
      <c r="AG225" s="19">
        <f t="shared" si="89"/>
        <v>1.6876908272744866</v>
      </c>
      <c r="AH225" s="19">
        <f>IF($H225&gt;0,'Calculation Constants'!$B$9*Hydraulics!$K225^2/2/9.81/MAX($F$4:$F$253)*$H225,"")</f>
        <v>7.8734226558858159E-2</v>
      </c>
      <c r="AI225" s="19">
        <f t="shared" si="101"/>
        <v>1.7664250538333448</v>
      </c>
      <c r="AJ225" s="19">
        <f t="shared" si="90"/>
        <v>0</v>
      </c>
      <c r="AK225" s="19">
        <f t="shared" si="102"/>
        <v>98.536771931504973</v>
      </c>
      <c r="AL225" s="23">
        <f t="shared" si="103"/>
        <v>1045.718771931505</v>
      </c>
      <c r="AM225" s="22">
        <f>(1/(2*LOG(3.7*($I225-0.008)/'Calculation Constants'!$B$5*1000)))^2</f>
        <v>1.4709705891825043E-2</v>
      </c>
      <c r="AN225" s="19">
        <f t="shared" si="104"/>
        <v>2.1543104841910781</v>
      </c>
      <c r="AO225" s="19">
        <f>IF($H225&gt;0,'Calculation Constants'!$B$9*Hydraulics!$K225^2/2/9.81/MAX($F$4:$F$253)*$H225,"")</f>
        <v>7.8734226558858159E-2</v>
      </c>
      <c r="AP225" s="19">
        <f t="shared" si="105"/>
        <v>2.2330447107499363</v>
      </c>
      <c r="AQ225" s="19">
        <f t="shared" si="91"/>
        <v>0</v>
      </c>
      <c r="AR225" s="19">
        <f t="shared" si="106"/>
        <v>71.939451487253564</v>
      </c>
      <c r="AS225" s="23">
        <f t="shared" si="107"/>
        <v>1019.1214514872536</v>
      </c>
    </row>
    <row r="226" spans="5:45">
      <c r="E226" s="35" t="str">
        <f t="shared" si="92"/>
        <v/>
      </c>
      <c r="F226" s="19">
        <f>'Profile data'!A226</f>
        <v>446</v>
      </c>
      <c r="G226" s="19">
        <f>VLOOKUP(F226,'Profile data'!A226:C485,IF($B$22="Botswana 1",2,3))</f>
        <v>938.04499999999996</v>
      </c>
      <c r="H226" s="19">
        <f t="shared" si="108"/>
        <v>2</v>
      </c>
      <c r="I226" s="19">
        <v>1.8</v>
      </c>
      <c r="J226" s="36">
        <f>'Flow Rate Calculations'!$B$7</f>
        <v>4.0831050228310497</v>
      </c>
      <c r="K226" s="36">
        <f t="shared" si="93"/>
        <v>1.6045588828318709</v>
      </c>
      <c r="L226" s="37">
        <f>$I226*$K226/'Calculation Constants'!$B$7</f>
        <v>2555934.503625989</v>
      </c>
      <c r="M226" s="37">
        <f t="shared" si="94"/>
        <v>208.36</v>
      </c>
      <c r="N226" s="23">
        <f t="shared" si="95"/>
        <v>129.82904669446077</v>
      </c>
      <c r="O226" s="57">
        <f t="shared" si="83"/>
        <v>208.36</v>
      </c>
      <c r="P226" s="66">
        <f>MAX(I226*1000/'Calculation Constants'!$B$14,O226*10*I226*1000/2/('Calculation Constants'!$B$12*1000*'Calculation Constants'!$B$13))</f>
        <v>12.501600000000003</v>
      </c>
      <c r="Q226" s="68">
        <f t="shared" si="84"/>
        <v>1102200.9626092273</v>
      </c>
      <c r="R226" s="27">
        <f>(1/(2*LOG(3.7*$I226/'Calculation Constants'!$B$2*1000)))^2</f>
        <v>8.7463077071963571E-3</v>
      </c>
      <c r="S226" s="19">
        <f t="shared" si="96"/>
        <v>1.2752477269849725</v>
      </c>
      <c r="T226" s="19">
        <f>IF($H226&gt;0,'Calculation Constants'!$B$9*Hydraulics!$K226^2/2/9.81/MAX($F$4:$F$253)*$H226,"")</f>
        <v>7.8734226558858159E-2</v>
      </c>
      <c r="U226" s="19">
        <f t="shared" si="97"/>
        <v>1.3539819535438307</v>
      </c>
      <c r="V226" s="19">
        <f t="shared" si="85"/>
        <v>0</v>
      </c>
      <c r="W226" s="19">
        <f t="shared" si="86"/>
        <v>129.82904669446077</v>
      </c>
      <c r="X226" s="23">
        <f t="shared" si="98"/>
        <v>1067.8740466944607</v>
      </c>
      <c r="Y226" s="22">
        <f>(1/(2*LOG(3.7*$I226/'Calculation Constants'!$B$3*1000)))^2</f>
        <v>9.8211436332891755E-3</v>
      </c>
      <c r="Z226" s="19">
        <f t="shared" si="87"/>
        <v>1.431963236834217</v>
      </c>
      <c r="AA226" s="19">
        <f>IF($H226&gt;0,'Calculation Constants'!$B$9*Hydraulics!$K226^2/2/9.81/MAX($F$4:$F$253)*$H226,"")</f>
        <v>7.8734226558858159E-2</v>
      </c>
      <c r="AB226" s="19">
        <f t="shared" si="109"/>
        <v>1.5106974633930752</v>
      </c>
      <c r="AC226" s="19">
        <f t="shared" si="88"/>
        <v>0</v>
      </c>
      <c r="AD226" s="19">
        <f t="shared" si="99"/>
        <v>120.73954712319608</v>
      </c>
      <c r="AE226" s="23">
        <f t="shared" si="100"/>
        <v>1058.784547123196</v>
      </c>
      <c r="AF226" s="27">
        <f>(1/(2*LOG(3.7*$I226/'Calculation Constants'!$B$4*1000)))^2</f>
        <v>1.1575055557914658E-2</v>
      </c>
      <c r="AG226" s="19">
        <f t="shared" si="89"/>
        <v>1.6876908272744866</v>
      </c>
      <c r="AH226" s="19">
        <f>IF($H226&gt;0,'Calculation Constants'!$B$9*Hydraulics!$K226^2/2/9.81/MAX($F$4:$F$253)*$H226,"")</f>
        <v>7.8734226558858159E-2</v>
      </c>
      <c r="AI226" s="19">
        <f t="shared" si="101"/>
        <v>1.7664250538333448</v>
      </c>
      <c r="AJ226" s="19">
        <f t="shared" si="90"/>
        <v>0</v>
      </c>
      <c r="AK226" s="19">
        <f t="shared" si="102"/>
        <v>105.90734687767178</v>
      </c>
      <c r="AL226" s="23">
        <f t="shared" si="103"/>
        <v>1043.9523468776717</v>
      </c>
      <c r="AM226" s="22">
        <f>(1/(2*LOG(3.7*($I226-0.008)/'Calculation Constants'!$B$5*1000)))^2</f>
        <v>1.4709705891825043E-2</v>
      </c>
      <c r="AN226" s="19">
        <f t="shared" si="104"/>
        <v>2.1543104841910781</v>
      </c>
      <c r="AO226" s="19">
        <f>IF($H226&gt;0,'Calculation Constants'!$B$9*Hydraulics!$K226^2/2/9.81/MAX($F$4:$F$253)*$H226,"")</f>
        <v>7.8734226558858159E-2</v>
      </c>
      <c r="AP226" s="19">
        <f t="shared" si="105"/>
        <v>2.2330447107499363</v>
      </c>
      <c r="AQ226" s="19">
        <f t="shared" si="91"/>
        <v>0</v>
      </c>
      <c r="AR226" s="19">
        <f t="shared" si="106"/>
        <v>78.843406776503684</v>
      </c>
      <c r="AS226" s="23">
        <f t="shared" si="107"/>
        <v>1016.8884067765036</v>
      </c>
    </row>
    <row r="227" spans="5:45">
      <c r="E227" s="35" t="str">
        <f t="shared" si="92"/>
        <v/>
      </c>
      <c r="F227" s="19">
        <f>'Profile data'!A227</f>
        <v>448</v>
      </c>
      <c r="G227" s="19">
        <f>VLOOKUP(F227,'Profile data'!A227:C486,IF($B$22="Botswana 1",2,3))</f>
        <v>930.87099999999998</v>
      </c>
      <c r="H227" s="19">
        <f t="shared" si="108"/>
        <v>2</v>
      </c>
      <c r="I227" s="19">
        <v>1.8</v>
      </c>
      <c r="J227" s="36">
        <f>'Flow Rate Calculations'!$B$7</f>
        <v>4.0831050228310497</v>
      </c>
      <c r="K227" s="36">
        <f t="shared" si="93"/>
        <v>1.6045588828318709</v>
      </c>
      <c r="L227" s="37">
        <f>$I227*$K227/'Calculation Constants'!$B$7</f>
        <v>2555934.503625989</v>
      </c>
      <c r="M227" s="37">
        <f t="shared" si="94"/>
        <v>215.53399999999999</v>
      </c>
      <c r="N227" s="23">
        <f t="shared" si="95"/>
        <v>135.64906474091697</v>
      </c>
      <c r="O227" s="57">
        <f t="shared" si="83"/>
        <v>215.53399999999999</v>
      </c>
      <c r="P227" s="66">
        <f>MAX(I227*1000/'Calculation Constants'!$B$14,O227*10*I227*1000/2/('Calculation Constants'!$B$12*1000*'Calculation Constants'!$B$13))</f>
        <v>12.932040000000002</v>
      </c>
      <c r="Q227" s="68">
        <f t="shared" si="84"/>
        <v>1139876.0607488214</v>
      </c>
      <c r="R227" s="27">
        <f>(1/(2*LOG(3.7*$I227/'Calculation Constants'!$B$2*1000)))^2</f>
        <v>8.7463077071963571E-3</v>
      </c>
      <c r="S227" s="19">
        <f t="shared" si="96"/>
        <v>1.2752477269849725</v>
      </c>
      <c r="T227" s="19">
        <f>IF($H227&gt;0,'Calculation Constants'!$B$9*Hydraulics!$K227^2/2/9.81/MAX($F$4:$F$253)*$H227,"")</f>
        <v>7.8734226558858159E-2</v>
      </c>
      <c r="U227" s="19">
        <f t="shared" si="97"/>
        <v>1.3539819535438307</v>
      </c>
      <c r="V227" s="19">
        <f t="shared" si="85"/>
        <v>0</v>
      </c>
      <c r="W227" s="19">
        <f t="shared" si="86"/>
        <v>135.64906474091697</v>
      </c>
      <c r="X227" s="23">
        <f t="shared" si="98"/>
        <v>1066.520064740917</v>
      </c>
      <c r="Y227" s="22">
        <f>(1/(2*LOG(3.7*$I227/'Calculation Constants'!$B$3*1000)))^2</f>
        <v>9.8211436332891755E-3</v>
      </c>
      <c r="Z227" s="19">
        <f t="shared" si="87"/>
        <v>1.431963236834217</v>
      </c>
      <c r="AA227" s="19">
        <f>IF($H227&gt;0,'Calculation Constants'!$B$9*Hydraulics!$K227^2/2/9.81/MAX($F$4:$F$253)*$H227,"")</f>
        <v>7.8734226558858159E-2</v>
      </c>
      <c r="AB227" s="19">
        <f t="shared" si="109"/>
        <v>1.5106974633930752</v>
      </c>
      <c r="AC227" s="19">
        <f t="shared" si="88"/>
        <v>0</v>
      </c>
      <c r="AD227" s="19">
        <f t="shared" si="99"/>
        <v>126.40284965980288</v>
      </c>
      <c r="AE227" s="23">
        <f t="shared" si="100"/>
        <v>1057.2738496598029</v>
      </c>
      <c r="AF227" s="27">
        <f>(1/(2*LOG(3.7*$I227/'Calculation Constants'!$B$4*1000)))^2</f>
        <v>1.1575055557914658E-2</v>
      </c>
      <c r="AG227" s="19">
        <f t="shared" si="89"/>
        <v>1.6876908272744866</v>
      </c>
      <c r="AH227" s="19">
        <f>IF($H227&gt;0,'Calculation Constants'!$B$9*Hydraulics!$K227^2/2/9.81/MAX($F$4:$F$253)*$H227,"")</f>
        <v>7.8734226558858159E-2</v>
      </c>
      <c r="AI227" s="19">
        <f t="shared" si="101"/>
        <v>1.7664250538333448</v>
      </c>
      <c r="AJ227" s="19">
        <f t="shared" si="90"/>
        <v>0</v>
      </c>
      <c r="AK227" s="19">
        <f t="shared" si="102"/>
        <v>111.31492182383852</v>
      </c>
      <c r="AL227" s="23">
        <f t="shared" si="103"/>
        <v>1042.1859218238385</v>
      </c>
      <c r="AM227" s="22">
        <f>(1/(2*LOG(3.7*($I227-0.008)/'Calculation Constants'!$B$5*1000)))^2</f>
        <v>1.4709705891825043E-2</v>
      </c>
      <c r="AN227" s="19">
        <f t="shared" si="104"/>
        <v>2.1543104841910781</v>
      </c>
      <c r="AO227" s="19">
        <f>IF($H227&gt;0,'Calculation Constants'!$B$9*Hydraulics!$K227^2/2/9.81/MAX($F$4:$F$253)*$H227,"")</f>
        <v>7.8734226558858159E-2</v>
      </c>
      <c r="AP227" s="19">
        <f t="shared" si="105"/>
        <v>2.2330447107499363</v>
      </c>
      <c r="AQ227" s="19">
        <f t="shared" si="91"/>
        <v>0</v>
      </c>
      <c r="AR227" s="19">
        <f t="shared" si="106"/>
        <v>83.784362065753726</v>
      </c>
      <c r="AS227" s="23">
        <f t="shared" si="107"/>
        <v>1014.6553620657537</v>
      </c>
    </row>
    <row r="228" spans="5:45">
      <c r="E228" s="35" t="str">
        <f t="shared" si="92"/>
        <v/>
      </c>
      <c r="F228" s="19">
        <f>'Profile data'!A228</f>
        <v>450</v>
      </c>
      <c r="G228" s="19">
        <f>VLOOKUP(F228,'Profile data'!A228:C487,IF($B$22="Botswana 1",2,3))</f>
        <v>926.39099999999996</v>
      </c>
      <c r="H228" s="19">
        <f t="shared" si="108"/>
        <v>2</v>
      </c>
      <c r="I228" s="19">
        <v>1.8</v>
      </c>
      <c r="J228" s="36">
        <f>'Flow Rate Calculations'!$B$7</f>
        <v>4.0831050228310497</v>
      </c>
      <c r="K228" s="36">
        <f t="shared" si="93"/>
        <v>1.6045588828318709</v>
      </c>
      <c r="L228" s="37">
        <f>$I228*$K228/'Calculation Constants'!$B$7</f>
        <v>2555934.503625989</v>
      </c>
      <c r="M228" s="37">
        <f t="shared" si="94"/>
        <v>220.01400000000001</v>
      </c>
      <c r="N228" s="23">
        <f t="shared" si="95"/>
        <v>138.77508278737321</v>
      </c>
      <c r="O228" s="57">
        <f t="shared" si="83"/>
        <v>220.01400000000001</v>
      </c>
      <c r="P228" s="66">
        <f>MAX(I228*1000/'Calculation Constants'!$B$14,O228*10*I228*1000/2/('Calculation Constants'!$B$12*1000*'Calculation Constants'!$B$13))</f>
        <v>13.200840000000003</v>
      </c>
      <c r="Q228" s="68">
        <f t="shared" si="84"/>
        <v>1163394.0329830109</v>
      </c>
      <c r="R228" s="27">
        <f>(1/(2*LOG(3.7*$I228/'Calculation Constants'!$B$2*1000)))^2</f>
        <v>8.7463077071963571E-3</v>
      </c>
      <c r="S228" s="19">
        <f t="shared" si="96"/>
        <v>1.2752477269849725</v>
      </c>
      <c r="T228" s="19">
        <f>IF($H228&gt;0,'Calculation Constants'!$B$9*Hydraulics!$K228^2/2/9.81/MAX($F$4:$F$253)*$H228,"")</f>
        <v>7.8734226558858159E-2</v>
      </c>
      <c r="U228" s="19">
        <f t="shared" si="97"/>
        <v>1.3539819535438307</v>
      </c>
      <c r="V228" s="19">
        <f t="shared" si="85"/>
        <v>0</v>
      </c>
      <c r="W228" s="19">
        <f t="shared" si="86"/>
        <v>138.77508278737321</v>
      </c>
      <c r="X228" s="23">
        <f t="shared" si="98"/>
        <v>1065.1660827873732</v>
      </c>
      <c r="Y228" s="22">
        <f>(1/(2*LOG(3.7*$I228/'Calculation Constants'!$B$3*1000)))^2</f>
        <v>9.8211436332891755E-3</v>
      </c>
      <c r="Z228" s="19">
        <f t="shared" si="87"/>
        <v>1.431963236834217</v>
      </c>
      <c r="AA228" s="19">
        <f>IF($H228&gt;0,'Calculation Constants'!$B$9*Hydraulics!$K228^2/2/9.81/MAX($F$4:$F$253)*$H228,"")</f>
        <v>7.8734226558858159E-2</v>
      </c>
      <c r="AB228" s="19">
        <f t="shared" si="109"/>
        <v>1.5106974633930752</v>
      </c>
      <c r="AC228" s="19">
        <f t="shared" si="88"/>
        <v>0</v>
      </c>
      <c r="AD228" s="19">
        <f t="shared" si="99"/>
        <v>129.37215219640973</v>
      </c>
      <c r="AE228" s="23">
        <f t="shared" si="100"/>
        <v>1055.7631521964097</v>
      </c>
      <c r="AF228" s="27">
        <f>(1/(2*LOG(3.7*$I228/'Calculation Constants'!$B$4*1000)))^2</f>
        <v>1.1575055557914658E-2</v>
      </c>
      <c r="AG228" s="19">
        <f t="shared" si="89"/>
        <v>1.6876908272744866</v>
      </c>
      <c r="AH228" s="19">
        <f>IF($H228&gt;0,'Calculation Constants'!$B$9*Hydraulics!$K228^2/2/9.81/MAX($F$4:$F$253)*$H228,"")</f>
        <v>7.8734226558858159E-2</v>
      </c>
      <c r="AI228" s="19">
        <f t="shared" si="101"/>
        <v>1.7664250538333448</v>
      </c>
      <c r="AJ228" s="19">
        <f t="shared" si="90"/>
        <v>0</v>
      </c>
      <c r="AK228" s="19">
        <f t="shared" si="102"/>
        <v>114.02849677000529</v>
      </c>
      <c r="AL228" s="23">
        <f t="shared" si="103"/>
        <v>1040.4194967700053</v>
      </c>
      <c r="AM228" s="22">
        <f>(1/(2*LOG(3.7*($I228-0.008)/'Calculation Constants'!$B$5*1000)))^2</f>
        <v>1.4709705891825043E-2</v>
      </c>
      <c r="AN228" s="19">
        <f t="shared" si="104"/>
        <v>2.1543104841910781</v>
      </c>
      <c r="AO228" s="19">
        <f>IF($H228&gt;0,'Calculation Constants'!$B$9*Hydraulics!$K228^2/2/9.81/MAX($F$4:$F$253)*$H228,"")</f>
        <v>7.8734226558858159E-2</v>
      </c>
      <c r="AP228" s="19">
        <f t="shared" si="105"/>
        <v>2.2330447107499363</v>
      </c>
      <c r="AQ228" s="19">
        <f t="shared" si="91"/>
        <v>0</v>
      </c>
      <c r="AR228" s="19">
        <f t="shared" si="106"/>
        <v>86.031317355003807</v>
      </c>
      <c r="AS228" s="23">
        <f t="shared" si="107"/>
        <v>1012.4223173550038</v>
      </c>
    </row>
    <row r="229" spans="5:45">
      <c r="E229" s="35" t="str">
        <f t="shared" si="92"/>
        <v/>
      </c>
      <c r="F229" s="19">
        <f>'Profile data'!A229</f>
        <v>452</v>
      </c>
      <c r="G229" s="19">
        <f>VLOOKUP(F229,'Profile data'!A229:C488,IF($B$22="Botswana 1",2,3))</f>
        <v>918.34400000000005</v>
      </c>
      <c r="H229" s="19">
        <f t="shared" si="108"/>
        <v>2</v>
      </c>
      <c r="I229" s="19">
        <v>1.8</v>
      </c>
      <c r="J229" s="36">
        <f>'Flow Rate Calculations'!$B$7</f>
        <v>4.0831050228310497</v>
      </c>
      <c r="K229" s="36">
        <f t="shared" si="93"/>
        <v>1.6045588828318709</v>
      </c>
      <c r="L229" s="37">
        <f>$I229*$K229/'Calculation Constants'!$B$7</f>
        <v>2555934.503625989</v>
      </c>
      <c r="M229" s="37">
        <f t="shared" si="94"/>
        <v>228.06099999999992</v>
      </c>
      <c r="N229" s="23">
        <f t="shared" si="95"/>
        <v>145.46810083382934</v>
      </c>
      <c r="O229" s="57">
        <f t="shared" si="83"/>
        <v>228.06099999999992</v>
      </c>
      <c r="P229" s="66">
        <f>MAX(I229*1000/'Calculation Constants'!$B$14,O229*10*I229*1000/2/('Calculation Constants'!$B$12*1000*'Calculation Constants'!$B$13))</f>
        <v>13.683659999999996</v>
      </c>
      <c r="Q229" s="68">
        <f t="shared" si="84"/>
        <v>1205619.2415204742</v>
      </c>
      <c r="R229" s="27">
        <f>(1/(2*LOG(3.7*$I229/'Calculation Constants'!$B$2*1000)))^2</f>
        <v>8.7463077071963571E-3</v>
      </c>
      <c r="S229" s="19">
        <f t="shared" si="96"/>
        <v>1.2752477269849725</v>
      </c>
      <c r="T229" s="19">
        <f>IF($H229&gt;0,'Calculation Constants'!$B$9*Hydraulics!$K229^2/2/9.81/MAX($F$4:$F$253)*$H229,"")</f>
        <v>7.8734226558858159E-2</v>
      </c>
      <c r="U229" s="19">
        <f t="shared" si="97"/>
        <v>1.3539819535438307</v>
      </c>
      <c r="V229" s="19">
        <f t="shared" si="85"/>
        <v>0</v>
      </c>
      <c r="W229" s="19">
        <f t="shared" si="86"/>
        <v>145.46810083382934</v>
      </c>
      <c r="X229" s="23">
        <f t="shared" si="98"/>
        <v>1063.8121008338294</v>
      </c>
      <c r="Y229" s="22">
        <f>(1/(2*LOG(3.7*$I229/'Calculation Constants'!$B$3*1000)))^2</f>
        <v>9.8211436332891755E-3</v>
      </c>
      <c r="Z229" s="19">
        <f t="shared" si="87"/>
        <v>1.431963236834217</v>
      </c>
      <c r="AA229" s="19">
        <f>IF($H229&gt;0,'Calculation Constants'!$B$9*Hydraulics!$K229^2/2/9.81/MAX($F$4:$F$253)*$H229,"")</f>
        <v>7.8734226558858159E-2</v>
      </c>
      <c r="AB229" s="19">
        <f t="shared" si="109"/>
        <v>1.5106974633930752</v>
      </c>
      <c r="AC229" s="19">
        <f t="shared" si="88"/>
        <v>0</v>
      </c>
      <c r="AD229" s="19">
        <f t="shared" si="99"/>
        <v>135.90845473301647</v>
      </c>
      <c r="AE229" s="23">
        <f t="shared" si="100"/>
        <v>1054.2524547330165</v>
      </c>
      <c r="AF229" s="27">
        <f>(1/(2*LOG(3.7*$I229/'Calculation Constants'!$B$4*1000)))^2</f>
        <v>1.1575055557914658E-2</v>
      </c>
      <c r="AG229" s="19">
        <f t="shared" si="89"/>
        <v>1.6876908272744866</v>
      </c>
      <c r="AH229" s="19">
        <f>IF($H229&gt;0,'Calculation Constants'!$B$9*Hydraulics!$K229^2/2/9.81/MAX($F$4:$F$253)*$H229,"")</f>
        <v>7.8734226558858159E-2</v>
      </c>
      <c r="AI229" s="19">
        <f t="shared" si="101"/>
        <v>1.7664250538333448</v>
      </c>
      <c r="AJ229" s="19">
        <f t="shared" si="90"/>
        <v>0</v>
      </c>
      <c r="AK229" s="19">
        <f t="shared" si="102"/>
        <v>120.30907171617196</v>
      </c>
      <c r="AL229" s="23">
        <f t="shared" si="103"/>
        <v>1038.653071716172</v>
      </c>
      <c r="AM229" s="22">
        <f>(1/(2*LOG(3.7*($I229-0.008)/'Calculation Constants'!$B$5*1000)))^2</f>
        <v>1.4709705891825043E-2</v>
      </c>
      <c r="AN229" s="19">
        <f t="shared" si="104"/>
        <v>2.1543104841910781</v>
      </c>
      <c r="AO229" s="19">
        <f>IF($H229&gt;0,'Calculation Constants'!$B$9*Hydraulics!$K229^2/2/9.81/MAX($F$4:$F$253)*$H229,"")</f>
        <v>7.8734226558858159E-2</v>
      </c>
      <c r="AP229" s="19">
        <f t="shared" si="105"/>
        <v>2.2330447107499363</v>
      </c>
      <c r="AQ229" s="19">
        <f t="shared" si="91"/>
        <v>0</v>
      </c>
      <c r="AR229" s="19">
        <f t="shared" si="106"/>
        <v>91.845272644253782</v>
      </c>
      <c r="AS229" s="23">
        <f t="shared" si="107"/>
        <v>1010.1892726442538</v>
      </c>
    </row>
    <row r="230" spans="5:45">
      <c r="E230" s="35" t="str">
        <f t="shared" si="92"/>
        <v/>
      </c>
      <c r="F230" s="19">
        <f>'Profile data'!A230</f>
        <v>454</v>
      </c>
      <c r="G230" s="19">
        <f>VLOOKUP(F230,'Profile data'!A230:C489,IF($B$22="Botswana 1",2,3))</f>
        <v>911.505</v>
      </c>
      <c r="H230" s="19">
        <f t="shared" si="108"/>
        <v>2</v>
      </c>
      <c r="I230" s="19">
        <v>1.8</v>
      </c>
      <c r="J230" s="36">
        <f>'Flow Rate Calculations'!$B$7</f>
        <v>4.0831050228310497</v>
      </c>
      <c r="K230" s="36">
        <f t="shared" si="93"/>
        <v>1.6045588828318709</v>
      </c>
      <c r="L230" s="37">
        <f>$I230*$K230/'Calculation Constants'!$B$7</f>
        <v>2555934.503625989</v>
      </c>
      <c r="M230" s="37">
        <f t="shared" si="94"/>
        <v>234.89999999999998</v>
      </c>
      <c r="N230" s="23">
        <f t="shared" si="95"/>
        <v>150.95311888028561</v>
      </c>
      <c r="O230" s="57">
        <f t="shared" si="83"/>
        <v>234.89999999999998</v>
      </c>
      <c r="P230" s="66">
        <f>MAX(I230*1000/'Calculation Constants'!$B$14,O230*10*I230*1000/2/('Calculation Constants'!$B$12*1000*'Calculation Constants'!$B$13))</f>
        <v>14.093999999999999</v>
      </c>
      <c r="Q230" s="68">
        <f t="shared" si="84"/>
        <v>1241487.606975009</v>
      </c>
      <c r="R230" s="27">
        <f>(1/(2*LOG(3.7*$I230/'Calculation Constants'!$B$2*1000)))^2</f>
        <v>8.7463077071963571E-3</v>
      </c>
      <c r="S230" s="19">
        <f t="shared" si="96"/>
        <v>1.2752477269849725</v>
      </c>
      <c r="T230" s="19">
        <f>IF($H230&gt;0,'Calculation Constants'!$B$9*Hydraulics!$K230^2/2/9.81/MAX($F$4:$F$253)*$H230,"")</f>
        <v>7.8734226558858159E-2</v>
      </c>
      <c r="U230" s="19">
        <f t="shared" si="97"/>
        <v>1.3539819535438307</v>
      </c>
      <c r="V230" s="19">
        <f t="shared" si="85"/>
        <v>0</v>
      </c>
      <c r="W230" s="19">
        <f t="shared" si="86"/>
        <v>150.95311888028561</v>
      </c>
      <c r="X230" s="23">
        <f t="shared" si="98"/>
        <v>1062.4581188802856</v>
      </c>
      <c r="Y230" s="22">
        <f>(1/(2*LOG(3.7*$I230/'Calculation Constants'!$B$3*1000)))^2</f>
        <v>9.8211436332891755E-3</v>
      </c>
      <c r="Z230" s="19">
        <f t="shared" si="87"/>
        <v>1.431963236834217</v>
      </c>
      <c r="AA230" s="19">
        <f>IF($H230&gt;0,'Calculation Constants'!$B$9*Hydraulics!$K230^2/2/9.81/MAX($F$4:$F$253)*$H230,"")</f>
        <v>7.8734226558858159E-2</v>
      </c>
      <c r="AB230" s="19">
        <f t="shared" si="109"/>
        <v>1.5106974633930752</v>
      </c>
      <c r="AC230" s="19">
        <f t="shared" si="88"/>
        <v>0</v>
      </c>
      <c r="AD230" s="19">
        <f t="shared" si="99"/>
        <v>141.23675726962335</v>
      </c>
      <c r="AE230" s="23">
        <f t="shared" si="100"/>
        <v>1052.7417572696233</v>
      </c>
      <c r="AF230" s="27">
        <f>(1/(2*LOG(3.7*$I230/'Calculation Constants'!$B$4*1000)))^2</f>
        <v>1.1575055557914658E-2</v>
      </c>
      <c r="AG230" s="19">
        <f t="shared" si="89"/>
        <v>1.6876908272744866</v>
      </c>
      <c r="AH230" s="19">
        <f>IF($H230&gt;0,'Calculation Constants'!$B$9*Hydraulics!$K230^2/2/9.81/MAX($F$4:$F$253)*$H230,"")</f>
        <v>7.8734226558858159E-2</v>
      </c>
      <c r="AI230" s="19">
        <f t="shared" si="101"/>
        <v>1.7664250538333448</v>
      </c>
      <c r="AJ230" s="19">
        <f t="shared" si="90"/>
        <v>0</v>
      </c>
      <c r="AK230" s="19">
        <f t="shared" si="102"/>
        <v>125.38164666233877</v>
      </c>
      <c r="AL230" s="23">
        <f t="shared" si="103"/>
        <v>1036.8866466623388</v>
      </c>
      <c r="AM230" s="22">
        <f>(1/(2*LOG(3.7*($I230-0.008)/'Calculation Constants'!$B$5*1000)))^2</f>
        <v>1.4709705891825043E-2</v>
      </c>
      <c r="AN230" s="19">
        <f t="shared" si="104"/>
        <v>2.1543104841910781</v>
      </c>
      <c r="AO230" s="19">
        <f>IF($H230&gt;0,'Calculation Constants'!$B$9*Hydraulics!$K230^2/2/9.81/MAX($F$4:$F$253)*$H230,"")</f>
        <v>7.8734226558858159E-2</v>
      </c>
      <c r="AP230" s="19">
        <f t="shared" si="105"/>
        <v>2.2330447107499363</v>
      </c>
      <c r="AQ230" s="19">
        <f t="shared" si="91"/>
        <v>0</v>
      </c>
      <c r="AR230" s="19">
        <f t="shared" si="106"/>
        <v>96.451227933503901</v>
      </c>
      <c r="AS230" s="23">
        <f t="shared" si="107"/>
        <v>1007.9562279335039</v>
      </c>
    </row>
    <row r="231" spans="5:45">
      <c r="E231" s="35" t="str">
        <f t="shared" si="92"/>
        <v/>
      </c>
      <c r="F231" s="19">
        <f>'Profile data'!A231</f>
        <v>456</v>
      </c>
      <c r="G231" s="19">
        <f>VLOOKUP(F231,'Profile data'!A231:C490,IF($B$22="Botswana 1",2,3))</f>
        <v>903.61</v>
      </c>
      <c r="H231" s="19">
        <f t="shared" si="108"/>
        <v>2</v>
      </c>
      <c r="I231" s="19">
        <v>1.8</v>
      </c>
      <c r="J231" s="36">
        <f>'Flow Rate Calculations'!$B$7</f>
        <v>4.0831050228310497</v>
      </c>
      <c r="K231" s="36">
        <f t="shared" si="93"/>
        <v>1.6045588828318709</v>
      </c>
      <c r="L231" s="37">
        <f>$I231*$K231/'Calculation Constants'!$B$7</f>
        <v>2555934.503625989</v>
      </c>
      <c r="M231" s="37">
        <f t="shared" si="94"/>
        <v>242.79499999999996</v>
      </c>
      <c r="N231" s="23">
        <f t="shared" si="95"/>
        <v>157.49413692674182</v>
      </c>
      <c r="O231" s="57">
        <f t="shared" si="83"/>
        <v>242.79499999999996</v>
      </c>
      <c r="P231" s="66">
        <f>MAX(I231*1000/'Calculation Constants'!$B$14,O231*10*I231*1000/2/('Calculation Constants'!$B$12*1000*'Calculation Constants'!$B$13))</f>
        <v>14.567699999999997</v>
      </c>
      <c r="Q231" s="68">
        <f t="shared" si="84"/>
        <v>1282873.6993627879</v>
      </c>
      <c r="R231" s="27">
        <f>(1/(2*LOG(3.7*$I231/'Calculation Constants'!$B$2*1000)))^2</f>
        <v>8.7463077071963571E-3</v>
      </c>
      <c r="S231" s="19">
        <f t="shared" si="96"/>
        <v>1.2752477269849725</v>
      </c>
      <c r="T231" s="19">
        <f>IF($H231&gt;0,'Calculation Constants'!$B$9*Hydraulics!$K231^2/2/9.81/MAX($F$4:$F$253)*$H231,"")</f>
        <v>7.8734226558858159E-2</v>
      </c>
      <c r="U231" s="19">
        <f t="shared" si="97"/>
        <v>1.3539819535438307</v>
      </c>
      <c r="V231" s="19">
        <f t="shared" si="85"/>
        <v>0</v>
      </c>
      <c r="W231" s="19">
        <f t="shared" si="86"/>
        <v>157.49413692674182</v>
      </c>
      <c r="X231" s="23">
        <f t="shared" si="98"/>
        <v>1061.1041369267418</v>
      </c>
      <c r="Y231" s="22">
        <f>(1/(2*LOG(3.7*$I231/'Calculation Constants'!$B$3*1000)))^2</f>
        <v>9.8211436332891755E-3</v>
      </c>
      <c r="Z231" s="19">
        <f t="shared" si="87"/>
        <v>1.431963236834217</v>
      </c>
      <c r="AA231" s="19">
        <f>IF($H231&gt;0,'Calculation Constants'!$B$9*Hydraulics!$K231^2/2/9.81/MAX($F$4:$F$253)*$H231,"")</f>
        <v>7.8734226558858159E-2</v>
      </c>
      <c r="AB231" s="19">
        <f t="shared" si="109"/>
        <v>1.5106974633930752</v>
      </c>
      <c r="AC231" s="19">
        <f t="shared" si="88"/>
        <v>0</v>
      </c>
      <c r="AD231" s="19">
        <f t="shared" si="99"/>
        <v>147.62105980623016</v>
      </c>
      <c r="AE231" s="23">
        <f t="shared" si="100"/>
        <v>1051.2310598062302</v>
      </c>
      <c r="AF231" s="27">
        <f>(1/(2*LOG(3.7*$I231/'Calculation Constants'!$B$4*1000)))^2</f>
        <v>1.1575055557914658E-2</v>
      </c>
      <c r="AG231" s="19">
        <f t="shared" si="89"/>
        <v>1.6876908272744866</v>
      </c>
      <c r="AH231" s="19">
        <f>IF($H231&gt;0,'Calculation Constants'!$B$9*Hydraulics!$K231^2/2/9.81/MAX($F$4:$F$253)*$H231,"")</f>
        <v>7.8734226558858159E-2</v>
      </c>
      <c r="AI231" s="19">
        <f t="shared" si="101"/>
        <v>1.7664250538333448</v>
      </c>
      <c r="AJ231" s="19">
        <f t="shared" si="90"/>
        <v>0</v>
      </c>
      <c r="AK231" s="19">
        <f t="shared" si="102"/>
        <v>131.5102216085055</v>
      </c>
      <c r="AL231" s="23">
        <f t="shared" si="103"/>
        <v>1035.1202216085055</v>
      </c>
      <c r="AM231" s="22">
        <f>(1/(2*LOG(3.7*($I231-0.008)/'Calculation Constants'!$B$5*1000)))^2</f>
        <v>1.4709705891825043E-2</v>
      </c>
      <c r="AN231" s="19">
        <f t="shared" si="104"/>
        <v>2.1543104841910781</v>
      </c>
      <c r="AO231" s="19">
        <f>IF($H231&gt;0,'Calculation Constants'!$B$9*Hydraulics!$K231^2/2/9.81/MAX($F$4:$F$253)*$H231,"")</f>
        <v>7.8734226558858159E-2</v>
      </c>
      <c r="AP231" s="19">
        <f t="shared" si="105"/>
        <v>2.2330447107499363</v>
      </c>
      <c r="AQ231" s="19">
        <f t="shared" si="91"/>
        <v>0</v>
      </c>
      <c r="AR231" s="19">
        <f t="shared" si="106"/>
        <v>102.11318322275395</v>
      </c>
      <c r="AS231" s="23">
        <f t="shared" si="107"/>
        <v>1005.723183222754</v>
      </c>
    </row>
    <row r="232" spans="5:45">
      <c r="E232" s="35" t="str">
        <f t="shared" si="92"/>
        <v/>
      </c>
      <c r="F232" s="19">
        <f>'Profile data'!A232</f>
        <v>458</v>
      </c>
      <c r="G232" s="19">
        <f>VLOOKUP(F232,'Profile data'!A232:C491,IF($B$22="Botswana 1",2,3))</f>
        <v>900.63</v>
      </c>
      <c r="H232" s="19">
        <f t="shared" si="108"/>
        <v>2</v>
      </c>
      <c r="I232" s="19">
        <v>1.8</v>
      </c>
      <c r="J232" s="36">
        <f>'Flow Rate Calculations'!$B$7</f>
        <v>4.0831050228310497</v>
      </c>
      <c r="K232" s="36">
        <f t="shared" si="93"/>
        <v>1.6045588828318709</v>
      </c>
      <c r="L232" s="37">
        <f>$I232*$K232/'Calculation Constants'!$B$7</f>
        <v>2555934.503625989</v>
      </c>
      <c r="M232" s="37">
        <f t="shared" si="94"/>
        <v>245.77499999999998</v>
      </c>
      <c r="N232" s="23">
        <f t="shared" si="95"/>
        <v>159.12015497319805</v>
      </c>
      <c r="O232" s="57">
        <f t="shared" si="83"/>
        <v>245.77499999999998</v>
      </c>
      <c r="P232" s="66">
        <f>MAX(I232*1000/'Calculation Constants'!$B$14,O232*10*I232*1000/2/('Calculation Constants'!$B$12*1000*'Calculation Constants'!$B$13))</f>
        <v>14.746499999999999</v>
      </c>
      <c r="Q232" s="68">
        <f t="shared" si="84"/>
        <v>1298489.2946241284</v>
      </c>
      <c r="R232" s="27">
        <f>(1/(2*LOG(3.7*$I232/'Calculation Constants'!$B$2*1000)))^2</f>
        <v>8.7463077071963571E-3</v>
      </c>
      <c r="S232" s="19">
        <f t="shared" si="96"/>
        <v>1.2752477269849725</v>
      </c>
      <c r="T232" s="19">
        <f>IF($H232&gt;0,'Calculation Constants'!$B$9*Hydraulics!$K232^2/2/9.81/MAX($F$4:$F$253)*$H232,"")</f>
        <v>7.8734226558858159E-2</v>
      </c>
      <c r="U232" s="19">
        <f t="shared" si="97"/>
        <v>1.3539819535438307</v>
      </c>
      <c r="V232" s="19">
        <f t="shared" si="85"/>
        <v>0</v>
      </c>
      <c r="W232" s="19">
        <f t="shared" si="86"/>
        <v>159.12015497319805</v>
      </c>
      <c r="X232" s="23">
        <f t="shared" si="98"/>
        <v>1059.7501549731981</v>
      </c>
      <c r="Y232" s="22">
        <f>(1/(2*LOG(3.7*$I232/'Calculation Constants'!$B$3*1000)))^2</f>
        <v>9.8211436332891755E-3</v>
      </c>
      <c r="Z232" s="19">
        <f t="shared" si="87"/>
        <v>1.431963236834217</v>
      </c>
      <c r="AA232" s="19">
        <f>IF($H232&gt;0,'Calculation Constants'!$B$9*Hydraulics!$K232^2/2/9.81/MAX($F$4:$F$253)*$H232,"")</f>
        <v>7.8734226558858159E-2</v>
      </c>
      <c r="AB232" s="19">
        <f t="shared" si="109"/>
        <v>1.5106974633930752</v>
      </c>
      <c r="AC232" s="19">
        <f t="shared" si="88"/>
        <v>0</v>
      </c>
      <c r="AD232" s="19">
        <f t="shared" si="99"/>
        <v>149.09036234283701</v>
      </c>
      <c r="AE232" s="23">
        <f t="shared" si="100"/>
        <v>1049.720362342837</v>
      </c>
      <c r="AF232" s="27">
        <f>(1/(2*LOG(3.7*$I232/'Calculation Constants'!$B$4*1000)))^2</f>
        <v>1.1575055557914658E-2</v>
      </c>
      <c r="AG232" s="19">
        <f t="shared" si="89"/>
        <v>1.6876908272744866</v>
      </c>
      <c r="AH232" s="19">
        <f>IF($H232&gt;0,'Calculation Constants'!$B$9*Hydraulics!$K232^2/2/9.81/MAX($F$4:$F$253)*$H232,"")</f>
        <v>7.8734226558858159E-2</v>
      </c>
      <c r="AI232" s="19">
        <f t="shared" si="101"/>
        <v>1.7664250538333448</v>
      </c>
      <c r="AJ232" s="19">
        <f t="shared" si="90"/>
        <v>0</v>
      </c>
      <c r="AK232" s="19">
        <f t="shared" si="102"/>
        <v>132.72379655467228</v>
      </c>
      <c r="AL232" s="23">
        <f t="shared" si="103"/>
        <v>1033.3537965546723</v>
      </c>
      <c r="AM232" s="22">
        <f>(1/(2*LOG(3.7*($I232-0.008)/'Calculation Constants'!$B$5*1000)))^2</f>
        <v>1.4709705891825043E-2</v>
      </c>
      <c r="AN232" s="19">
        <f t="shared" si="104"/>
        <v>2.1543104841910781</v>
      </c>
      <c r="AO232" s="19">
        <f>IF($H232&gt;0,'Calculation Constants'!$B$9*Hydraulics!$K232^2/2/9.81/MAX($F$4:$F$253)*$H232,"")</f>
        <v>7.8734226558858159E-2</v>
      </c>
      <c r="AP232" s="19">
        <f t="shared" si="105"/>
        <v>2.2330447107499363</v>
      </c>
      <c r="AQ232" s="19">
        <f t="shared" si="91"/>
        <v>0</v>
      </c>
      <c r="AR232" s="19">
        <f t="shared" si="106"/>
        <v>102.86013851200403</v>
      </c>
      <c r="AS232" s="23">
        <f t="shared" si="107"/>
        <v>1003.490138512004</v>
      </c>
    </row>
    <row r="233" spans="5:45">
      <c r="E233" s="35" t="str">
        <f t="shared" si="92"/>
        <v/>
      </c>
      <c r="F233" s="19">
        <f>'Profile data'!A233</f>
        <v>460</v>
      </c>
      <c r="G233" s="19">
        <f>VLOOKUP(F233,'Profile data'!A233:C492,IF($B$22="Botswana 1",2,3))</f>
        <v>904.06600000000003</v>
      </c>
      <c r="H233" s="19">
        <f t="shared" si="108"/>
        <v>2</v>
      </c>
      <c r="I233" s="19">
        <v>1.8</v>
      </c>
      <c r="J233" s="36">
        <f>'Flow Rate Calculations'!$B$7</f>
        <v>4.0831050228310497</v>
      </c>
      <c r="K233" s="36">
        <f t="shared" si="93"/>
        <v>1.6045588828318709</v>
      </c>
      <c r="L233" s="37">
        <f>$I233*$K233/'Calculation Constants'!$B$7</f>
        <v>2555934.503625989</v>
      </c>
      <c r="M233" s="37">
        <f t="shared" si="94"/>
        <v>242.33899999999994</v>
      </c>
      <c r="N233" s="23">
        <f t="shared" si="95"/>
        <v>154.33017301965424</v>
      </c>
      <c r="O233" s="57">
        <f t="shared" si="83"/>
        <v>242.33899999999994</v>
      </c>
      <c r="P233" s="66">
        <f>MAX(I233*1000/'Calculation Constants'!$B$14,O233*10*I233*1000/2/('Calculation Constants'!$B$12*1000*'Calculation Constants'!$B$13))</f>
        <v>14.540339999999997</v>
      </c>
      <c r="Q233" s="68">
        <f t="shared" si="84"/>
        <v>1280483.9206715913</v>
      </c>
      <c r="R233" s="27">
        <f>(1/(2*LOG(3.7*$I233/'Calculation Constants'!$B$2*1000)))^2</f>
        <v>8.7463077071963571E-3</v>
      </c>
      <c r="S233" s="19">
        <f t="shared" si="96"/>
        <v>1.2752477269849725</v>
      </c>
      <c r="T233" s="19">
        <f>IF($H233&gt;0,'Calculation Constants'!$B$9*Hydraulics!$K233^2/2/9.81/MAX($F$4:$F$253)*$H233,"")</f>
        <v>7.8734226558858159E-2</v>
      </c>
      <c r="U233" s="19">
        <f t="shared" si="97"/>
        <v>1.3539819535438307</v>
      </c>
      <c r="V233" s="19">
        <f t="shared" si="85"/>
        <v>0</v>
      </c>
      <c r="W233" s="19">
        <f t="shared" si="86"/>
        <v>154.33017301965424</v>
      </c>
      <c r="X233" s="23">
        <f t="shared" si="98"/>
        <v>1058.3961730196543</v>
      </c>
      <c r="Y233" s="22">
        <f>(1/(2*LOG(3.7*$I233/'Calculation Constants'!$B$3*1000)))^2</f>
        <v>9.8211436332891755E-3</v>
      </c>
      <c r="Z233" s="19">
        <f t="shared" si="87"/>
        <v>1.431963236834217</v>
      </c>
      <c r="AA233" s="19">
        <f>IF($H233&gt;0,'Calculation Constants'!$B$9*Hydraulics!$K233^2/2/9.81/MAX($F$4:$F$253)*$H233,"")</f>
        <v>7.8734226558858159E-2</v>
      </c>
      <c r="AB233" s="19">
        <f t="shared" si="109"/>
        <v>1.5106974633930752</v>
      </c>
      <c r="AC233" s="19">
        <f t="shared" si="88"/>
        <v>0</v>
      </c>
      <c r="AD233" s="19">
        <f t="shared" si="99"/>
        <v>144.1436648794438</v>
      </c>
      <c r="AE233" s="23">
        <f t="shared" si="100"/>
        <v>1048.2096648794438</v>
      </c>
      <c r="AF233" s="27">
        <f>(1/(2*LOG(3.7*$I233/'Calculation Constants'!$B$4*1000)))^2</f>
        <v>1.1575055557914658E-2</v>
      </c>
      <c r="AG233" s="19">
        <f t="shared" si="89"/>
        <v>1.6876908272744866</v>
      </c>
      <c r="AH233" s="19">
        <f>IF($H233&gt;0,'Calculation Constants'!$B$9*Hydraulics!$K233^2/2/9.81/MAX($F$4:$F$253)*$H233,"")</f>
        <v>7.8734226558858159E-2</v>
      </c>
      <c r="AI233" s="19">
        <f t="shared" si="101"/>
        <v>1.7664250538333448</v>
      </c>
      <c r="AJ233" s="19">
        <f t="shared" si="90"/>
        <v>0</v>
      </c>
      <c r="AK233" s="19">
        <f t="shared" si="102"/>
        <v>127.521371500839</v>
      </c>
      <c r="AL233" s="23">
        <f t="shared" si="103"/>
        <v>1031.587371500839</v>
      </c>
      <c r="AM233" s="22">
        <f>(1/(2*LOG(3.7*($I233-0.008)/'Calculation Constants'!$B$5*1000)))^2</f>
        <v>1.4709705891825043E-2</v>
      </c>
      <c r="AN233" s="19">
        <f t="shared" si="104"/>
        <v>2.1543104841910781</v>
      </c>
      <c r="AO233" s="19">
        <f>IF($H233&gt;0,'Calculation Constants'!$B$9*Hydraulics!$K233^2/2/9.81/MAX($F$4:$F$253)*$H233,"")</f>
        <v>7.8734226558858159E-2</v>
      </c>
      <c r="AP233" s="19">
        <f t="shared" si="105"/>
        <v>2.2330447107499363</v>
      </c>
      <c r="AQ233" s="19">
        <f t="shared" si="91"/>
        <v>0</v>
      </c>
      <c r="AR233" s="19">
        <f t="shared" si="106"/>
        <v>97.191093801254056</v>
      </c>
      <c r="AS233" s="23">
        <f t="shared" si="107"/>
        <v>1001.2570938012541</v>
      </c>
    </row>
    <row r="234" spans="5:45">
      <c r="E234" s="35" t="str">
        <f t="shared" si="92"/>
        <v/>
      </c>
      <c r="F234" s="19">
        <f>'Profile data'!A234</f>
        <v>462</v>
      </c>
      <c r="G234" s="19">
        <f>VLOOKUP(F234,'Profile data'!A234:C493,IF($B$22="Botswana 1",2,3))</f>
        <v>915.09199999999998</v>
      </c>
      <c r="H234" s="19">
        <f t="shared" si="108"/>
        <v>2</v>
      </c>
      <c r="I234" s="19">
        <v>1.8</v>
      </c>
      <c r="J234" s="36">
        <f>'Flow Rate Calculations'!$B$7</f>
        <v>4.0831050228310497</v>
      </c>
      <c r="K234" s="36">
        <f t="shared" si="93"/>
        <v>1.6045588828318709</v>
      </c>
      <c r="L234" s="37">
        <f>$I234*$K234/'Calculation Constants'!$B$7</f>
        <v>2555934.503625989</v>
      </c>
      <c r="M234" s="37">
        <f t="shared" si="94"/>
        <v>231.31299999999999</v>
      </c>
      <c r="N234" s="23">
        <f t="shared" si="95"/>
        <v>141.95019106611051</v>
      </c>
      <c r="O234" s="57">
        <f t="shared" si="83"/>
        <v>231.31299999999999</v>
      </c>
      <c r="P234" s="66">
        <f>MAX(I234*1000/'Calculation Constants'!$B$14,O234*10*I234*1000/2/('Calculation Constants'!$B$12*1000*'Calculation Constants'!$B$13))</f>
        <v>13.878780000000001</v>
      </c>
      <c r="Q234" s="68">
        <f t="shared" si="84"/>
        <v>1222677.011630594</v>
      </c>
      <c r="R234" s="27">
        <f>(1/(2*LOG(3.7*$I234/'Calculation Constants'!$B$2*1000)))^2</f>
        <v>8.7463077071963571E-3</v>
      </c>
      <c r="S234" s="19">
        <f t="shared" si="96"/>
        <v>1.2752477269849725</v>
      </c>
      <c r="T234" s="19">
        <f>IF($H234&gt;0,'Calculation Constants'!$B$9*Hydraulics!$K234^2/2/9.81/MAX($F$4:$F$253)*$H234,"")</f>
        <v>7.8734226558858159E-2</v>
      </c>
      <c r="U234" s="19">
        <f t="shared" si="97"/>
        <v>1.3539819535438307</v>
      </c>
      <c r="V234" s="19">
        <f t="shared" si="85"/>
        <v>0</v>
      </c>
      <c r="W234" s="19">
        <f t="shared" si="86"/>
        <v>141.95019106611051</v>
      </c>
      <c r="X234" s="23">
        <f t="shared" si="98"/>
        <v>1057.0421910661105</v>
      </c>
      <c r="Y234" s="22">
        <f>(1/(2*LOG(3.7*$I234/'Calculation Constants'!$B$3*1000)))^2</f>
        <v>9.8211436332891755E-3</v>
      </c>
      <c r="Z234" s="19">
        <f t="shared" si="87"/>
        <v>1.431963236834217</v>
      </c>
      <c r="AA234" s="19">
        <f>IF($H234&gt;0,'Calculation Constants'!$B$9*Hydraulics!$K234^2/2/9.81/MAX($F$4:$F$253)*$H234,"")</f>
        <v>7.8734226558858159E-2</v>
      </c>
      <c r="AB234" s="19">
        <f t="shared" si="109"/>
        <v>1.5106974633930752</v>
      </c>
      <c r="AC234" s="19">
        <f t="shared" si="88"/>
        <v>0</v>
      </c>
      <c r="AD234" s="19">
        <f t="shared" si="99"/>
        <v>131.60696741605068</v>
      </c>
      <c r="AE234" s="23">
        <f t="shared" si="100"/>
        <v>1046.6989674160507</v>
      </c>
      <c r="AF234" s="27">
        <f>(1/(2*LOG(3.7*$I234/'Calculation Constants'!$B$4*1000)))^2</f>
        <v>1.1575055557914658E-2</v>
      </c>
      <c r="AG234" s="19">
        <f t="shared" si="89"/>
        <v>1.6876908272744866</v>
      </c>
      <c r="AH234" s="19">
        <f>IF($H234&gt;0,'Calculation Constants'!$B$9*Hydraulics!$K234^2/2/9.81/MAX($F$4:$F$253)*$H234,"")</f>
        <v>7.8734226558858159E-2</v>
      </c>
      <c r="AI234" s="19">
        <f t="shared" si="101"/>
        <v>1.7664250538333448</v>
      </c>
      <c r="AJ234" s="19">
        <f t="shared" si="90"/>
        <v>0</v>
      </c>
      <c r="AK234" s="19">
        <f t="shared" si="102"/>
        <v>114.7289464470058</v>
      </c>
      <c r="AL234" s="23">
        <f t="shared" si="103"/>
        <v>1029.8209464470058</v>
      </c>
      <c r="AM234" s="22">
        <f>(1/(2*LOG(3.7*($I234-0.008)/'Calculation Constants'!$B$5*1000)))^2</f>
        <v>1.4709705891825043E-2</v>
      </c>
      <c r="AN234" s="19">
        <f t="shared" si="104"/>
        <v>2.1543104841910781</v>
      </c>
      <c r="AO234" s="19">
        <f>IF($H234&gt;0,'Calculation Constants'!$B$9*Hydraulics!$K234^2/2/9.81/MAX($F$4:$F$253)*$H234,"")</f>
        <v>7.8734226558858159E-2</v>
      </c>
      <c r="AP234" s="19">
        <f t="shared" si="105"/>
        <v>2.2330447107499363</v>
      </c>
      <c r="AQ234" s="19">
        <f t="shared" si="91"/>
        <v>0</v>
      </c>
      <c r="AR234" s="19">
        <f t="shared" si="106"/>
        <v>83.932049090504165</v>
      </c>
      <c r="AS234" s="23">
        <f t="shared" si="107"/>
        <v>999.02404909050415</v>
      </c>
    </row>
    <row r="235" spans="5:45">
      <c r="E235" s="35" t="str">
        <f t="shared" si="92"/>
        <v/>
      </c>
      <c r="F235" s="19">
        <f>'Profile data'!A235</f>
        <v>464</v>
      </c>
      <c r="G235" s="19">
        <f>VLOOKUP(F235,'Profile data'!A235:C494,IF($B$22="Botswana 1",2,3))</f>
        <v>905.55600000000004</v>
      </c>
      <c r="H235" s="19">
        <f t="shared" si="108"/>
        <v>2</v>
      </c>
      <c r="I235" s="19">
        <v>1.8</v>
      </c>
      <c r="J235" s="36">
        <f>'Flow Rate Calculations'!$B$7</f>
        <v>4.0831050228310497</v>
      </c>
      <c r="K235" s="36">
        <f t="shared" si="93"/>
        <v>1.6045588828318709</v>
      </c>
      <c r="L235" s="37">
        <f>$I235*$K235/'Calculation Constants'!$B$7</f>
        <v>2555934.503625989</v>
      </c>
      <c r="M235" s="37">
        <f t="shared" si="94"/>
        <v>240.84899999999993</v>
      </c>
      <c r="N235" s="23">
        <f t="shared" si="95"/>
        <v>150.13220911256667</v>
      </c>
      <c r="O235" s="57">
        <f t="shared" si="83"/>
        <v>240.84899999999993</v>
      </c>
      <c r="P235" s="66">
        <f>MAX(I235*1000/'Calculation Constants'!$B$14,O235*10*I235*1000/2/('Calculation Constants'!$B$12*1000*'Calculation Constants'!$B$13))</f>
        <v>14.450939999999997</v>
      </c>
      <c r="Q235" s="68">
        <f t="shared" si="84"/>
        <v>1272674.6991327263</v>
      </c>
      <c r="R235" s="27">
        <f>(1/(2*LOG(3.7*$I235/'Calculation Constants'!$B$2*1000)))^2</f>
        <v>8.7463077071963571E-3</v>
      </c>
      <c r="S235" s="19">
        <f t="shared" si="96"/>
        <v>1.2752477269849725</v>
      </c>
      <c r="T235" s="19">
        <f>IF($H235&gt;0,'Calculation Constants'!$B$9*Hydraulics!$K235^2/2/9.81/MAX($F$4:$F$253)*$H235,"")</f>
        <v>7.8734226558858159E-2</v>
      </c>
      <c r="U235" s="19">
        <f t="shared" si="97"/>
        <v>1.3539819535438307</v>
      </c>
      <c r="V235" s="19">
        <f t="shared" si="85"/>
        <v>0</v>
      </c>
      <c r="W235" s="19">
        <f t="shared" si="86"/>
        <v>150.13220911256667</v>
      </c>
      <c r="X235" s="23">
        <f t="shared" si="98"/>
        <v>1055.6882091125667</v>
      </c>
      <c r="Y235" s="22">
        <f>(1/(2*LOG(3.7*$I235/'Calculation Constants'!$B$3*1000)))^2</f>
        <v>9.8211436332891755E-3</v>
      </c>
      <c r="Z235" s="19">
        <f t="shared" si="87"/>
        <v>1.431963236834217</v>
      </c>
      <c r="AA235" s="19">
        <f>IF($H235&gt;0,'Calculation Constants'!$B$9*Hydraulics!$K235^2/2/9.81/MAX($F$4:$F$253)*$H235,"")</f>
        <v>7.8734226558858159E-2</v>
      </c>
      <c r="AB235" s="19">
        <f t="shared" si="109"/>
        <v>1.5106974633930752</v>
      </c>
      <c r="AC235" s="19">
        <f t="shared" si="88"/>
        <v>0</v>
      </c>
      <c r="AD235" s="19">
        <f t="shared" si="99"/>
        <v>139.63226995265745</v>
      </c>
      <c r="AE235" s="23">
        <f t="shared" si="100"/>
        <v>1045.1882699526575</v>
      </c>
      <c r="AF235" s="27">
        <f>(1/(2*LOG(3.7*$I235/'Calculation Constants'!$B$4*1000)))^2</f>
        <v>1.1575055557914658E-2</v>
      </c>
      <c r="AG235" s="19">
        <f t="shared" si="89"/>
        <v>1.6876908272744866</v>
      </c>
      <c r="AH235" s="19">
        <f>IF($H235&gt;0,'Calculation Constants'!$B$9*Hydraulics!$K235^2/2/9.81/MAX($F$4:$F$253)*$H235,"")</f>
        <v>7.8734226558858159E-2</v>
      </c>
      <c r="AI235" s="19">
        <f t="shared" si="101"/>
        <v>1.7664250538333448</v>
      </c>
      <c r="AJ235" s="19">
        <f t="shared" si="90"/>
        <v>0</v>
      </c>
      <c r="AK235" s="19">
        <f t="shared" si="102"/>
        <v>122.4985213931725</v>
      </c>
      <c r="AL235" s="23">
        <f t="shared" si="103"/>
        <v>1028.0545213931725</v>
      </c>
      <c r="AM235" s="22">
        <f>(1/(2*LOG(3.7*($I235-0.008)/'Calculation Constants'!$B$5*1000)))^2</f>
        <v>1.4709705891825043E-2</v>
      </c>
      <c r="AN235" s="19">
        <f t="shared" si="104"/>
        <v>2.1543104841910781</v>
      </c>
      <c r="AO235" s="19">
        <f>IF($H235&gt;0,'Calculation Constants'!$B$9*Hydraulics!$K235^2/2/9.81/MAX($F$4:$F$253)*$H235,"")</f>
        <v>7.8734226558858159E-2</v>
      </c>
      <c r="AP235" s="19">
        <f t="shared" si="105"/>
        <v>2.2330447107499363</v>
      </c>
      <c r="AQ235" s="19">
        <f t="shared" si="91"/>
        <v>0</v>
      </c>
      <c r="AR235" s="19">
        <f t="shared" si="106"/>
        <v>91.235004379754173</v>
      </c>
      <c r="AS235" s="23">
        <f t="shared" si="107"/>
        <v>996.79100437975421</v>
      </c>
    </row>
    <row r="236" spans="5:45">
      <c r="E236" s="35" t="str">
        <f t="shared" si="92"/>
        <v/>
      </c>
      <c r="F236" s="19">
        <f>'Profile data'!A236</f>
        <v>466</v>
      </c>
      <c r="G236" s="19">
        <f>VLOOKUP(F236,'Profile data'!A236:C495,IF($B$22="Botswana 1",2,3))</f>
        <v>905.27099999999996</v>
      </c>
      <c r="H236" s="19">
        <f t="shared" si="108"/>
        <v>2</v>
      </c>
      <c r="I236" s="19">
        <v>1.8</v>
      </c>
      <c r="J236" s="36">
        <f>'Flow Rate Calculations'!$B$7</f>
        <v>4.0831050228310497</v>
      </c>
      <c r="K236" s="36">
        <f t="shared" si="93"/>
        <v>1.6045588828318709</v>
      </c>
      <c r="L236" s="37">
        <f>$I236*$K236/'Calculation Constants'!$B$7</f>
        <v>2555934.503625989</v>
      </c>
      <c r="M236" s="37">
        <f t="shared" si="94"/>
        <v>241.13400000000001</v>
      </c>
      <c r="N236" s="23">
        <f t="shared" si="95"/>
        <v>149.06322715902297</v>
      </c>
      <c r="O236" s="57">
        <f t="shared" si="83"/>
        <v>241.13400000000001</v>
      </c>
      <c r="P236" s="66">
        <f>MAX(I236*1000/'Calculation Constants'!$B$14,O236*10*I236*1000/2/('Calculation Constants'!$B$12*1000*'Calculation Constants'!$B$13))</f>
        <v>14.46804</v>
      </c>
      <c r="Q236" s="68">
        <f t="shared" si="84"/>
        <v>1274168.4702723515</v>
      </c>
      <c r="R236" s="27">
        <f>(1/(2*LOG(3.7*$I236/'Calculation Constants'!$B$2*1000)))^2</f>
        <v>8.7463077071963571E-3</v>
      </c>
      <c r="S236" s="19">
        <f t="shared" si="96"/>
        <v>1.2752477269849725</v>
      </c>
      <c r="T236" s="19">
        <f>IF($H236&gt;0,'Calculation Constants'!$B$9*Hydraulics!$K236^2/2/9.81/MAX($F$4:$F$253)*$H236,"")</f>
        <v>7.8734226558858159E-2</v>
      </c>
      <c r="U236" s="19">
        <f t="shared" si="97"/>
        <v>1.3539819535438307</v>
      </c>
      <c r="V236" s="19">
        <f t="shared" si="85"/>
        <v>0</v>
      </c>
      <c r="W236" s="19">
        <f t="shared" si="86"/>
        <v>149.06322715902297</v>
      </c>
      <c r="X236" s="23">
        <f t="shared" si="98"/>
        <v>1054.3342271590229</v>
      </c>
      <c r="Y236" s="22">
        <f>(1/(2*LOG(3.7*$I236/'Calculation Constants'!$B$3*1000)))^2</f>
        <v>9.8211436332891755E-3</v>
      </c>
      <c r="Z236" s="19">
        <f t="shared" si="87"/>
        <v>1.431963236834217</v>
      </c>
      <c r="AA236" s="19">
        <f>IF($H236&gt;0,'Calculation Constants'!$B$9*Hydraulics!$K236^2/2/9.81/MAX($F$4:$F$253)*$H236,"")</f>
        <v>7.8734226558858159E-2</v>
      </c>
      <c r="AB236" s="19">
        <f t="shared" si="109"/>
        <v>1.5106974633930752</v>
      </c>
      <c r="AC236" s="19">
        <f t="shared" si="88"/>
        <v>0</v>
      </c>
      <c r="AD236" s="19">
        <f t="shared" si="99"/>
        <v>138.40657248926436</v>
      </c>
      <c r="AE236" s="23">
        <f t="shared" si="100"/>
        <v>1043.6775724892643</v>
      </c>
      <c r="AF236" s="27">
        <f>(1/(2*LOG(3.7*$I236/'Calculation Constants'!$B$4*1000)))^2</f>
        <v>1.1575055557914658E-2</v>
      </c>
      <c r="AG236" s="19">
        <f t="shared" si="89"/>
        <v>1.6876908272744866</v>
      </c>
      <c r="AH236" s="19">
        <f>IF($H236&gt;0,'Calculation Constants'!$B$9*Hydraulics!$K236^2/2/9.81/MAX($F$4:$F$253)*$H236,"")</f>
        <v>7.8734226558858159E-2</v>
      </c>
      <c r="AI236" s="19">
        <f t="shared" si="101"/>
        <v>1.7664250538333448</v>
      </c>
      <c r="AJ236" s="19">
        <f t="shared" si="90"/>
        <v>0</v>
      </c>
      <c r="AK236" s="19">
        <f t="shared" si="102"/>
        <v>121.01709633933933</v>
      </c>
      <c r="AL236" s="23">
        <f t="shared" si="103"/>
        <v>1026.2880963393393</v>
      </c>
      <c r="AM236" s="22">
        <f>(1/(2*LOG(3.7*($I236-0.008)/'Calculation Constants'!$B$5*1000)))^2</f>
        <v>1.4709705891825043E-2</v>
      </c>
      <c r="AN236" s="19">
        <f t="shared" si="104"/>
        <v>2.1543104841910781</v>
      </c>
      <c r="AO236" s="19">
        <f>IF($H236&gt;0,'Calculation Constants'!$B$9*Hydraulics!$K236^2/2/9.81/MAX($F$4:$F$253)*$H236,"")</f>
        <v>7.8734226558858159E-2</v>
      </c>
      <c r="AP236" s="19">
        <f t="shared" si="105"/>
        <v>2.2330447107499363</v>
      </c>
      <c r="AQ236" s="19">
        <f t="shared" si="91"/>
        <v>0</v>
      </c>
      <c r="AR236" s="19">
        <f t="shared" si="106"/>
        <v>89.286959669004318</v>
      </c>
      <c r="AS236" s="23">
        <f t="shared" si="107"/>
        <v>994.55795966900428</v>
      </c>
    </row>
    <row r="237" spans="5:45">
      <c r="E237" s="35" t="str">
        <f t="shared" si="92"/>
        <v/>
      </c>
      <c r="F237" s="19">
        <f>'Profile data'!A237</f>
        <v>468</v>
      </c>
      <c r="G237" s="19">
        <f>VLOOKUP(F237,'Profile data'!A237:C496,IF($B$22="Botswana 1",2,3))</f>
        <v>901.91800000000001</v>
      </c>
      <c r="H237" s="19">
        <f t="shared" si="108"/>
        <v>2</v>
      </c>
      <c r="I237" s="19">
        <v>1.8</v>
      </c>
      <c r="J237" s="36">
        <f>'Flow Rate Calculations'!$B$7</f>
        <v>4.0831050228310497</v>
      </c>
      <c r="K237" s="36">
        <f t="shared" si="93"/>
        <v>1.6045588828318709</v>
      </c>
      <c r="L237" s="37">
        <f>$I237*$K237/'Calculation Constants'!$B$7</f>
        <v>2555934.503625989</v>
      </c>
      <c r="M237" s="37">
        <f t="shared" si="94"/>
        <v>244.48699999999997</v>
      </c>
      <c r="N237" s="23">
        <f t="shared" si="95"/>
        <v>151.06224520547914</v>
      </c>
      <c r="O237" s="57">
        <f t="shared" si="83"/>
        <v>244.48699999999997</v>
      </c>
      <c r="P237" s="66">
        <f>MAX(I237*1000/'Calculation Constants'!$B$14,O237*10*I237*1000/2/('Calculation Constants'!$B$12*1000*'Calculation Constants'!$B$13))</f>
        <v>14.669219999999999</v>
      </c>
      <c r="Q237" s="68">
        <f t="shared" si="84"/>
        <v>1291740.3907482768</v>
      </c>
      <c r="R237" s="27">
        <f>(1/(2*LOG(3.7*$I237/'Calculation Constants'!$B$2*1000)))^2</f>
        <v>8.7463077071963571E-3</v>
      </c>
      <c r="S237" s="19">
        <f t="shared" si="96"/>
        <v>1.2752477269849725</v>
      </c>
      <c r="T237" s="19">
        <f>IF($H237&gt;0,'Calculation Constants'!$B$9*Hydraulics!$K237^2/2/9.81/MAX($F$4:$F$253)*$H237,"")</f>
        <v>7.8734226558858159E-2</v>
      </c>
      <c r="U237" s="19">
        <f t="shared" si="97"/>
        <v>1.3539819535438307</v>
      </c>
      <c r="V237" s="19">
        <f t="shared" si="85"/>
        <v>0</v>
      </c>
      <c r="W237" s="19">
        <f t="shared" si="86"/>
        <v>151.06224520547914</v>
      </c>
      <c r="X237" s="23">
        <f t="shared" si="98"/>
        <v>1052.9802452054792</v>
      </c>
      <c r="Y237" s="22">
        <f>(1/(2*LOG(3.7*$I237/'Calculation Constants'!$B$3*1000)))^2</f>
        <v>9.8211436332891755E-3</v>
      </c>
      <c r="Z237" s="19">
        <f t="shared" si="87"/>
        <v>1.431963236834217</v>
      </c>
      <c r="AA237" s="19">
        <f>IF($H237&gt;0,'Calculation Constants'!$B$9*Hydraulics!$K237^2/2/9.81/MAX($F$4:$F$253)*$H237,"")</f>
        <v>7.8734226558858159E-2</v>
      </c>
      <c r="AB237" s="19">
        <f t="shared" si="109"/>
        <v>1.5106974633930752</v>
      </c>
      <c r="AC237" s="19">
        <f t="shared" si="88"/>
        <v>0</v>
      </c>
      <c r="AD237" s="19">
        <f t="shared" si="99"/>
        <v>140.24887502587114</v>
      </c>
      <c r="AE237" s="23">
        <f t="shared" si="100"/>
        <v>1042.1668750258711</v>
      </c>
      <c r="AF237" s="27">
        <f>(1/(2*LOG(3.7*$I237/'Calculation Constants'!$B$4*1000)))^2</f>
        <v>1.1575055557914658E-2</v>
      </c>
      <c r="AG237" s="19">
        <f t="shared" si="89"/>
        <v>1.6876908272744866</v>
      </c>
      <c r="AH237" s="19">
        <f>IF($H237&gt;0,'Calculation Constants'!$B$9*Hydraulics!$K237^2/2/9.81/MAX($F$4:$F$253)*$H237,"")</f>
        <v>7.8734226558858159E-2</v>
      </c>
      <c r="AI237" s="19">
        <f t="shared" si="101"/>
        <v>1.7664250538333448</v>
      </c>
      <c r="AJ237" s="19">
        <f t="shared" si="90"/>
        <v>0</v>
      </c>
      <c r="AK237" s="19">
        <f t="shared" si="102"/>
        <v>122.60367128550604</v>
      </c>
      <c r="AL237" s="23">
        <f t="shared" si="103"/>
        <v>1024.521671285506</v>
      </c>
      <c r="AM237" s="22">
        <f>(1/(2*LOG(3.7*($I237-0.008)/'Calculation Constants'!$B$5*1000)))^2</f>
        <v>1.4709705891825043E-2</v>
      </c>
      <c r="AN237" s="19">
        <f t="shared" si="104"/>
        <v>2.1543104841910781</v>
      </c>
      <c r="AO237" s="19">
        <f>IF($H237&gt;0,'Calculation Constants'!$B$9*Hydraulics!$K237^2/2/9.81/MAX($F$4:$F$253)*$H237,"")</f>
        <v>7.8734226558858159E-2</v>
      </c>
      <c r="AP237" s="19">
        <f t="shared" si="105"/>
        <v>2.2330447107499363</v>
      </c>
      <c r="AQ237" s="19">
        <f t="shared" si="91"/>
        <v>0</v>
      </c>
      <c r="AR237" s="19">
        <f t="shared" si="106"/>
        <v>90.406914958254333</v>
      </c>
      <c r="AS237" s="23">
        <f t="shared" si="107"/>
        <v>992.32491495825434</v>
      </c>
    </row>
    <row r="238" spans="5:45">
      <c r="E238" s="35" t="str">
        <f t="shared" si="92"/>
        <v/>
      </c>
      <c r="F238" s="19">
        <f>'Profile data'!A238</f>
        <v>470</v>
      </c>
      <c r="G238" s="19">
        <f>VLOOKUP(F238,'Profile data'!A238:C497,IF($B$22="Botswana 1",2,3))</f>
        <v>895.65099999999995</v>
      </c>
      <c r="H238" s="19">
        <f t="shared" si="108"/>
        <v>2</v>
      </c>
      <c r="I238" s="19">
        <v>1.8</v>
      </c>
      <c r="J238" s="36">
        <f>'Flow Rate Calculations'!$B$7</f>
        <v>4.0831050228310497</v>
      </c>
      <c r="K238" s="36">
        <f t="shared" si="93"/>
        <v>1.6045588828318709</v>
      </c>
      <c r="L238" s="37">
        <f>$I238*$K238/'Calculation Constants'!$B$7</f>
        <v>2555934.503625989</v>
      </c>
      <c r="M238" s="37">
        <f t="shared" si="94"/>
        <v>250.75400000000002</v>
      </c>
      <c r="N238" s="23">
        <f t="shared" si="95"/>
        <v>155.97526325193542</v>
      </c>
      <c r="O238" s="57">
        <f t="shared" si="83"/>
        <v>250.75400000000002</v>
      </c>
      <c r="P238" s="66">
        <f>MAX(I238*1000/'Calculation Constants'!$B$14,O238*10*I238*1000/2/('Calculation Constants'!$B$12*1000*'Calculation Constants'!$B$13))</f>
        <v>15.04524</v>
      </c>
      <c r="Q238" s="68">
        <f t="shared" si="84"/>
        <v>1324572.8785942614</v>
      </c>
      <c r="R238" s="27">
        <f>(1/(2*LOG(3.7*$I238/'Calculation Constants'!$B$2*1000)))^2</f>
        <v>8.7463077071963571E-3</v>
      </c>
      <c r="S238" s="19">
        <f t="shared" si="96"/>
        <v>1.2752477269849725</v>
      </c>
      <c r="T238" s="19">
        <f>IF($H238&gt;0,'Calculation Constants'!$B$9*Hydraulics!$K238^2/2/9.81/MAX($F$4:$F$253)*$H238,"")</f>
        <v>7.8734226558858159E-2</v>
      </c>
      <c r="U238" s="19">
        <f t="shared" si="97"/>
        <v>1.3539819535438307</v>
      </c>
      <c r="V238" s="19">
        <f t="shared" si="85"/>
        <v>0</v>
      </c>
      <c r="W238" s="19">
        <f t="shared" si="86"/>
        <v>155.97526325193542</v>
      </c>
      <c r="X238" s="23">
        <f t="shared" si="98"/>
        <v>1051.6262632519354</v>
      </c>
      <c r="Y238" s="22">
        <f>(1/(2*LOG(3.7*$I238/'Calculation Constants'!$B$3*1000)))^2</f>
        <v>9.8211436332891755E-3</v>
      </c>
      <c r="Z238" s="19">
        <f t="shared" si="87"/>
        <v>1.431963236834217</v>
      </c>
      <c r="AA238" s="19">
        <f>IF($H238&gt;0,'Calculation Constants'!$B$9*Hydraulics!$K238^2/2/9.81/MAX($F$4:$F$253)*$H238,"")</f>
        <v>7.8734226558858159E-2</v>
      </c>
      <c r="AB238" s="19">
        <f t="shared" si="109"/>
        <v>1.5106974633930752</v>
      </c>
      <c r="AC238" s="19">
        <f t="shared" si="88"/>
        <v>0</v>
      </c>
      <c r="AD238" s="19">
        <f t="shared" si="99"/>
        <v>145.00517756247802</v>
      </c>
      <c r="AE238" s="23">
        <f t="shared" si="100"/>
        <v>1040.656177562478</v>
      </c>
      <c r="AF238" s="27">
        <f>(1/(2*LOG(3.7*$I238/'Calculation Constants'!$B$4*1000)))^2</f>
        <v>1.1575055557914658E-2</v>
      </c>
      <c r="AG238" s="19">
        <f t="shared" si="89"/>
        <v>1.6876908272744866</v>
      </c>
      <c r="AH238" s="19">
        <f>IF($H238&gt;0,'Calculation Constants'!$B$9*Hydraulics!$K238^2/2/9.81/MAX($F$4:$F$253)*$H238,"")</f>
        <v>7.8734226558858159E-2</v>
      </c>
      <c r="AI238" s="19">
        <f t="shared" si="101"/>
        <v>1.7664250538333448</v>
      </c>
      <c r="AJ238" s="19">
        <f t="shared" si="90"/>
        <v>0</v>
      </c>
      <c r="AK238" s="19">
        <f t="shared" si="102"/>
        <v>127.10424623167273</v>
      </c>
      <c r="AL238" s="23">
        <f t="shared" si="103"/>
        <v>1022.7552462316727</v>
      </c>
      <c r="AM238" s="22">
        <f>(1/(2*LOG(3.7*($I238-0.008)/'Calculation Constants'!$B$5*1000)))^2</f>
        <v>1.4709705891825043E-2</v>
      </c>
      <c r="AN238" s="19">
        <f t="shared" si="104"/>
        <v>2.1543104841910781</v>
      </c>
      <c r="AO238" s="19">
        <f>IF($H238&gt;0,'Calculation Constants'!$B$9*Hydraulics!$K238^2/2/9.81/MAX($F$4:$F$253)*$H238,"")</f>
        <v>7.8734226558858159E-2</v>
      </c>
      <c r="AP238" s="19">
        <f t="shared" si="105"/>
        <v>2.2330447107499363</v>
      </c>
      <c r="AQ238" s="19">
        <f t="shared" si="91"/>
        <v>0</v>
      </c>
      <c r="AR238" s="19">
        <f t="shared" si="106"/>
        <v>94.440870247504449</v>
      </c>
      <c r="AS238" s="23">
        <f t="shared" si="107"/>
        <v>990.0918702475044</v>
      </c>
    </row>
    <row r="239" spans="5:45">
      <c r="E239" s="35" t="str">
        <f t="shared" si="92"/>
        <v/>
      </c>
      <c r="F239" s="19">
        <f>'Profile data'!A239</f>
        <v>472</v>
      </c>
      <c r="G239" s="19">
        <f>VLOOKUP(F239,'Profile data'!A239:C498,IF($B$22="Botswana 1",2,3))</f>
        <v>892.30399999999997</v>
      </c>
      <c r="H239" s="19">
        <f t="shared" si="108"/>
        <v>2</v>
      </c>
      <c r="I239" s="19">
        <v>1.8</v>
      </c>
      <c r="J239" s="36">
        <f>'Flow Rate Calculations'!$B$7</f>
        <v>4.0831050228310497</v>
      </c>
      <c r="K239" s="36">
        <f t="shared" si="93"/>
        <v>1.6045588828318709</v>
      </c>
      <c r="L239" s="37">
        <f>$I239*$K239/'Calculation Constants'!$B$7</f>
        <v>2555934.503625989</v>
      </c>
      <c r="M239" s="37">
        <f t="shared" si="94"/>
        <v>254.101</v>
      </c>
      <c r="N239" s="23">
        <f t="shared" si="95"/>
        <v>157.96828129839162</v>
      </c>
      <c r="O239" s="57">
        <f t="shared" si="83"/>
        <v>254.101</v>
      </c>
      <c r="P239" s="66">
        <f>MAX(I239*1000/'Calculation Constants'!$B$14,O239*10*I239*1000/2/('Calculation Constants'!$B$12*1000*'Calculation Constants'!$B$13))</f>
        <v>15.24606</v>
      </c>
      <c r="Q239" s="68">
        <f t="shared" si="84"/>
        <v>1342101.9243135073</v>
      </c>
      <c r="R239" s="27">
        <f>(1/(2*LOG(3.7*$I239/'Calculation Constants'!$B$2*1000)))^2</f>
        <v>8.7463077071963571E-3</v>
      </c>
      <c r="S239" s="19">
        <f t="shared" si="96"/>
        <v>1.2752477269849725</v>
      </c>
      <c r="T239" s="19">
        <f>IF($H239&gt;0,'Calculation Constants'!$B$9*Hydraulics!$K239^2/2/9.81/MAX($F$4:$F$253)*$H239,"")</f>
        <v>7.8734226558858159E-2</v>
      </c>
      <c r="U239" s="19">
        <f t="shared" si="97"/>
        <v>1.3539819535438307</v>
      </c>
      <c r="V239" s="19">
        <f t="shared" si="85"/>
        <v>0</v>
      </c>
      <c r="W239" s="19">
        <f t="shared" si="86"/>
        <v>157.96828129839162</v>
      </c>
      <c r="X239" s="23">
        <f t="shared" si="98"/>
        <v>1050.2722812983916</v>
      </c>
      <c r="Y239" s="22">
        <f>(1/(2*LOG(3.7*$I239/'Calculation Constants'!$B$3*1000)))^2</f>
        <v>9.8211436332891755E-3</v>
      </c>
      <c r="Z239" s="19">
        <f t="shared" si="87"/>
        <v>1.431963236834217</v>
      </c>
      <c r="AA239" s="19">
        <f>IF($H239&gt;0,'Calculation Constants'!$B$9*Hydraulics!$K239^2/2/9.81/MAX($F$4:$F$253)*$H239,"")</f>
        <v>7.8734226558858159E-2</v>
      </c>
      <c r="AB239" s="19">
        <f t="shared" si="109"/>
        <v>1.5106974633930752</v>
      </c>
      <c r="AC239" s="19">
        <f t="shared" si="88"/>
        <v>0</v>
      </c>
      <c r="AD239" s="19">
        <f t="shared" si="99"/>
        <v>146.84148009908483</v>
      </c>
      <c r="AE239" s="23">
        <f t="shared" si="100"/>
        <v>1039.1454800990848</v>
      </c>
      <c r="AF239" s="27">
        <f>(1/(2*LOG(3.7*$I239/'Calculation Constants'!$B$4*1000)))^2</f>
        <v>1.1575055557914658E-2</v>
      </c>
      <c r="AG239" s="19">
        <f t="shared" si="89"/>
        <v>1.6876908272744866</v>
      </c>
      <c r="AH239" s="19">
        <f>IF($H239&gt;0,'Calculation Constants'!$B$9*Hydraulics!$K239^2/2/9.81/MAX($F$4:$F$253)*$H239,"")</f>
        <v>7.8734226558858159E-2</v>
      </c>
      <c r="AI239" s="19">
        <f t="shared" si="101"/>
        <v>1.7664250538333448</v>
      </c>
      <c r="AJ239" s="19">
        <f t="shared" si="90"/>
        <v>0</v>
      </c>
      <c r="AK239" s="19">
        <f t="shared" si="102"/>
        <v>128.68482117783935</v>
      </c>
      <c r="AL239" s="23">
        <f t="shared" si="103"/>
        <v>1020.9888211778393</v>
      </c>
      <c r="AM239" s="22">
        <f>(1/(2*LOG(3.7*($I239-0.008)/'Calculation Constants'!$B$5*1000)))^2</f>
        <v>1.4709705891825043E-2</v>
      </c>
      <c r="AN239" s="19">
        <f t="shared" si="104"/>
        <v>2.1543104841910781</v>
      </c>
      <c r="AO239" s="19">
        <f>IF($H239&gt;0,'Calculation Constants'!$B$9*Hydraulics!$K239^2/2/9.81/MAX($F$4:$F$253)*$H239,"")</f>
        <v>7.8734226558858159E-2</v>
      </c>
      <c r="AP239" s="19">
        <f t="shared" si="105"/>
        <v>2.2330447107499363</v>
      </c>
      <c r="AQ239" s="19">
        <f t="shared" si="91"/>
        <v>0</v>
      </c>
      <c r="AR239" s="19">
        <f t="shared" si="106"/>
        <v>95.554825536754493</v>
      </c>
      <c r="AS239" s="23">
        <f t="shared" si="107"/>
        <v>987.85882553675447</v>
      </c>
    </row>
    <row r="240" spans="5:45">
      <c r="E240" s="35" t="str">
        <f t="shared" si="92"/>
        <v/>
      </c>
      <c r="F240" s="19">
        <f>'Profile data'!A240</f>
        <v>474</v>
      </c>
      <c r="G240" s="19">
        <f>VLOOKUP(F240,'Profile data'!A240:C499,IF($B$22="Botswana 1",2,3))</f>
        <v>895.279</v>
      </c>
      <c r="H240" s="19">
        <f t="shared" si="108"/>
        <v>2</v>
      </c>
      <c r="I240" s="19">
        <v>1.8</v>
      </c>
      <c r="J240" s="36">
        <f>'Flow Rate Calculations'!$B$7</f>
        <v>4.0831050228310497</v>
      </c>
      <c r="K240" s="36">
        <f t="shared" si="93"/>
        <v>1.6045588828318709</v>
      </c>
      <c r="L240" s="37">
        <f>$I240*$K240/'Calculation Constants'!$B$7</f>
        <v>2555934.503625989</v>
      </c>
      <c r="M240" s="37">
        <f t="shared" si="94"/>
        <v>251.12599999999998</v>
      </c>
      <c r="N240" s="23">
        <f t="shared" si="95"/>
        <v>153.63929934484781</v>
      </c>
      <c r="O240" s="57">
        <f t="shared" si="83"/>
        <v>251.12599999999998</v>
      </c>
      <c r="P240" s="66">
        <f>MAX(I240*1000/'Calculation Constants'!$B$14,O240*10*I240*1000/2/('Calculation Constants'!$B$12*1000*'Calculation Constants'!$B$13))</f>
        <v>15.06756</v>
      </c>
      <c r="Q240" s="68">
        <f t="shared" si="84"/>
        <v>1326521.3287652859</v>
      </c>
      <c r="R240" s="27">
        <f>(1/(2*LOG(3.7*$I240/'Calculation Constants'!$B$2*1000)))^2</f>
        <v>8.7463077071963571E-3</v>
      </c>
      <c r="S240" s="19">
        <f t="shared" si="96"/>
        <v>1.2752477269849725</v>
      </c>
      <c r="T240" s="19">
        <f>IF($H240&gt;0,'Calculation Constants'!$B$9*Hydraulics!$K240^2/2/9.81/MAX($F$4:$F$253)*$H240,"")</f>
        <v>7.8734226558858159E-2</v>
      </c>
      <c r="U240" s="19">
        <f t="shared" si="97"/>
        <v>1.3539819535438307</v>
      </c>
      <c r="V240" s="19">
        <f t="shared" si="85"/>
        <v>0</v>
      </c>
      <c r="W240" s="19">
        <f t="shared" si="86"/>
        <v>153.63929934484781</v>
      </c>
      <c r="X240" s="23">
        <f t="shared" si="98"/>
        <v>1048.9182993448478</v>
      </c>
      <c r="Y240" s="22">
        <f>(1/(2*LOG(3.7*$I240/'Calculation Constants'!$B$3*1000)))^2</f>
        <v>9.8211436332891755E-3</v>
      </c>
      <c r="Z240" s="19">
        <f t="shared" si="87"/>
        <v>1.431963236834217</v>
      </c>
      <c r="AA240" s="19">
        <f>IF($H240&gt;0,'Calculation Constants'!$B$9*Hydraulics!$K240^2/2/9.81/MAX($F$4:$F$253)*$H240,"")</f>
        <v>7.8734226558858159E-2</v>
      </c>
      <c r="AB240" s="19">
        <f t="shared" si="109"/>
        <v>1.5106974633930752</v>
      </c>
      <c r="AC240" s="19">
        <f t="shared" si="88"/>
        <v>0</v>
      </c>
      <c r="AD240" s="19">
        <f t="shared" si="99"/>
        <v>142.35578263569164</v>
      </c>
      <c r="AE240" s="23">
        <f t="shared" si="100"/>
        <v>1037.6347826356916</v>
      </c>
      <c r="AF240" s="27">
        <f>(1/(2*LOG(3.7*$I240/'Calculation Constants'!$B$4*1000)))^2</f>
        <v>1.1575055557914658E-2</v>
      </c>
      <c r="AG240" s="19">
        <f t="shared" si="89"/>
        <v>1.6876908272744866</v>
      </c>
      <c r="AH240" s="19">
        <f>IF($H240&gt;0,'Calculation Constants'!$B$9*Hydraulics!$K240^2/2/9.81/MAX($F$4:$F$253)*$H240,"")</f>
        <v>7.8734226558858159E-2</v>
      </c>
      <c r="AI240" s="19">
        <f t="shared" si="101"/>
        <v>1.7664250538333448</v>
      </c>
      <c r="AJ240" s="19">
        <f t="shared" si="90"/>
        <v>0</v>
      </c>
      <c r="AK240" s="19">
        <f t="shared" si="102"/>
        <v>123.94339612400597</v>
      </c>
      <c r="AL240" s="23">
        <f t="shared" si="103"/>
        <v>1019.222396124006</v>
      </c>
      <c r="AM240" s="22">
        <f>(1/(2*LOG(3.7*($I240-0.008)/'Calculation Constants'!$B$5*1000)))^2</f>
        <v>1.4709705891825043E-2</v>
      </c>
      <c r="AN240" s="19">
        <f t="shared" si="104"/>
        <v>2.1543104841910781</v>
      </c>
      <c r="AO240" s="19">
        <f>IF($H240&gt;0,'Calculation Constants'!$B$9*Hydraulics!$K240^2/2/9.81/MAX($F$4:$F$253)*$H240,"")</f>
        <v>7.8734226558858159E-2</v>
      </c>
      <c r="AP240" s="19">
        <f t="shared" si="105"/>
        <v>2.2330447107499363</v>
      </c>
      <c r="AQ240" s="19">
        <f t="shared" si="91"/>
        <v>0</v>
      </c>
      <c r="AR240" s="19">
        <f t="shared" si="106"/>
        <v>90.346780826004533</v>
      </c>
      <c r="AS240" s="23">
        <f t="shared" si="107"/>
        <v>985.62578082600453</v>
      </c>
    </row>
    <row r="241" spans="5:45">
      <c r="E241" s="35" t="str">
        <f t="shared" si="92"/>
        <v/>
      </c>
      <c r="F241" s="19">
        <f>'Profile data'!A241</f>
        <v>476</v>
      </c>
      <c r="G241" s="19">
        <f>VLOOKUP(F241,'Profile data'!A241:C500,IF($B$22="Botswana 1",2,3))</f>
        <v>896.81799999999998</v>
      </c>
      <c r="H241" s="19">
        <f t="shared" si="108"/>
        <v>2</v>
      </c>
      <c r="I241" s="19">
        <v>1.8</v>
      </c>
      <c r="J241" s="36">
        <f>'Flow Rate Calculations'!$B$7</f>
        <v>4.0831050228310497</v>
      </c>
      <c r="K241" s="36">
        <f t="shared" si="93"/>
        <v>1.6045588828318709</v>
      </c>
      <c r="L241" s="37">
        <f>$I241*$K241/'Calculation Constants'!$B$7</f>
        <v>2555934.503625989</v>
      </c>
      <c r="M241" s="37">
        <f t="shared" si="94"/>
        <v>249.58699999999999</v>
      </c>
      <c r="N241" s="23">
        <f t="shared" si="95"/>
        <v>150.74631739130405</v>
      </c>
      <c r="O241" s="57">
        <f t="shared" si="83"/>
        <v>249.58699999999999</v>
      </c>
      <c r="P241" s="66">
        <f>MAX(I241*1000/'Calculation Constants'!$B$14,O241*10*I241*1000/2/('Calculation Constants'!$B$12*1000*'Calculation Constants'!$B$13))</f>
        <v>14.97522</v>
      </c>
      <c r="Q241" s="68">
        <f t="shared" si="84"/>
        <v>1318460.0829429417</v>
      </c>
      <c r="R241" s="27">
        <f>(1/(2*LOG(3.7*$I241/'Calculation Constants'!$B$2*1000)))^2</f>
        <v>8.7463077071963571E-3</v>
      </c>
      <c r="S241" s="19">
        <f t="shared" si="96"/>
        <v>1.2752477269849725</v>
      </c>
      <c r="T241" s="19">
        <f>IF($H241&gt;0,'Calculation Constants'!$B$9*Hydraulics!$K241^2/2/9.81/MAX($F$4:$F$253)*$H241,"")</f>
        <v>7.8734226558858159E-2</v>
      </c>
      <c r="U241" s="19">
        <f t="shared" si="97"/>
        <v>1.3539819535438307</v>
      </c>
      <c r="V241" s="19">
        <f t="shared" si="85"/>
        <v>0</v>
      </c>
      <c r="W241" s="19">
        <f t="shared" si="86"/>
        <v>150.74631739130405</v>
      </c>
      <c r="X241" s="23">
        <f t="shared" si="98"/>
        <v>1047.564317391304</v>
      </c>
      <c r="Y241" s="22">
        <f>(1/(2*LOG(3.7*$I241/'Calculation Constants'!$B$3*1000)))^2</f>
        <v>9.8211436332891755E-3</v>
      </c>
      <c r="Z241" s="19">
        <f t="shared" si="87"/>
        <v>1.431963236834217</v>
      </c>
      <c r="AA241" s="19">
        <f>IF($H241&gt;0,'Calculation Constants'!$B$9*Hydraulics!$K241^2/2/9.81/MAX($F$4:$F$253)*$H241,"")</f>
        <v>7.8734226558858159E-2</v>
      </c>
      <c r="AB241" s="19">
        <f t="shared" si="109"/>
        <v>1.5106974633930752</v>
      </c>
      <c r="AC241" s="19">
        <f t="shared" si="88"/>
        <v>0</v>
      </c>
      <c r="AD241" s="19">
        <f t="shared" si="99"/>
        <v>139.30608517229848</v>
      </c>
      <c r="AE241" s="23">
        <f t="shared" si="100"/>
        <v>1036.1240851722985</v>
      </c>
      <c r="AF241" s="27">
        <f>(1/(2*LOG(3.7*$I241/'Calculation Constants'!$B$4*1000)))^2</f>
        <v>1.1575055557914658E-2</v>
      </c>
      <c r="AG241" s="19">
        <f t="shared" si="89"/>
        <v>1.6876908272744866</v>
      </c>
      <c r="AH241" s="19">
        <f>IF($H241&gt;0,'Calculation Constants'!$B$9*Hydraulics!$K241^2/2/9.81/MAX($F$4:$F$253)*$H241,"")</f>
        <v>7.8734226558858159E-2</v>
      </c>
      <c r="AI241" s="19">
        <f t="shared" si="101"/>
        <v>1.7664250538333448</v>
      </c>
      <c r="AJ241" s="19">
        <f t="shared" si="90"/>
        <v>0</v>
      </c>
      <c r="AK241" s="19">
        <f t="shared" si="102"/>
        <v>120.63797107017263</v>
      </c>
      <c r="AL241" s="23">
        <f t="shared" si="103"/>
        <v>1017.4559710701726</v>
      </c>
      <c r="AM241" s="22">
        <f>(1/(2*LOG(3.7*($I241-0.008)/'Calculation Constants'!$B$5*1000)))^2</f>
        <v>1.4709705891825043E-2</v>
      </c>
      <c r="AN241" s="19">
        <f t="shared" si="104"/>
        <v>2.1543104841910781</v>
      </c>
      <c r="AO241" s="19">
        <f>IF($H241&gt;0,'Calculation Constants'!$B$9*Hydraulics!$K241^2/2/9.81/MAX($F$4:$F$253)*$H241,"")</f>
        <v>7.8734226558858159E-2</v>
      </c>
      <c r="AP241" s="19">
        <f t="shared" si="105"/>
        <v>2.2330447107499363</v>
      </c>
      <c r="AQ241" s="19">
        <f t="shared" si="91"/>
        <v>0</v>
      </c>
      <c r="AR241" s="19">
        <f t="shared" si="106"/>
        <v>86.574736115254609</v>
      </c>
      <c r="AS241" s="23">
        <f t="shared" si="107"/>
        <v>983.39273611525459</v>
      </c>
    </row>
    <row r="242" spans="5:45">
      <c r="E242" s="35" t="str">
        <f t="shared" si="92"/>
        <v/>
      </c>
      <c r="F242" s="19">
        <f>'Profile data'!A242</f>
        <v>478</v>
      </c>
      <c r="G242" s="19">
        <f>VLOOKUP(F242,'Profile data'!A242:C501,IF($B$22="Botswana 1",2,3))</f>
        <v>909.92100000000005</v>
      </c>
      <c r="H242" s="19">
        <f t="shared" si="108"/>
        <v>2</v>
      </c>
      <c r="I242" s="19">
        <v>1.8</v>
      </c>
      <c r="J242" s="36">
        <f>'Flow Rate Calculations'!$B$7</f>
        <v>4.0831050228310497</v>
      </c>
      <c r="K242" s="36">
        <f t="shared" si="93"/>
        <v>1.6045588828318709</v>
      </c>
      <c r="L242" s="37">
        <f>$I242*$K242/'Calculation Constants'!$B$7</f>
        <v>2555934.503625989</v>
      </c>
      <c r="M242" s="37">
        <f t="shared" si="94"/>
        <v>236.48399999999992</v>
      </c>
      <c r="N242" s="23">
        <f t="shared" si="95"/>
        <v>136.2893354377602</v>
      </c>
      <c r="O242" s="57">
        <f t="shared" si="83"/>
        <v>236.48399999999992</v>
      </c>
      <c r="P242" s="66">
        <f>MAX(I242*1000/'Calculation Constants'!$B$14,O242*10*I242*1000/2/('Calculation Constants'!$B$12*1000*'Calculation Constants'!$B$13))</f>
        <v>14.189039999999997</v>
      </c>
      <c r="Q242" s="68">
        <f t="shared" si="84"/>
        <v>1249792.8107994457</v>
      </c>
      <c r="R242" s="27">
        <f>(1/(2*LOG(3.7*$I242/'Calculation Constants'!$B$2*1000)))^2</f>
        <v>8.7463077071963571E-3</v>
      </c>
      <c r="S242" s="19">
        <f t="shared" si="96"/>
        <v>1.2752477269849725</v>
      </c>
      <c r="T242" s="19">
        <f>IF($H242&gt;0,'Calculation Constants'!$B$9*Hydraulics!$K242^2/2/9.81/MAX($F$4:$F$253)*$H242,"")</f>
        <v>7.8734226558858159E-2</v>
      </c>
      <c r="U242" s="19">
        <f t="shared" si="97"/>
        <v>1.3539819535438307</v>
      </c>
      <c r="V242" s="19">
        <f t="shared" si="85"/>
        <v>0</v>
      </c>
      <c r="W242" s="19">
        <f t="shared" si="86"/>
        <v>136.2893354377602</v>
      </c>
      <c r="X242" s="23">
        <f t="shared" si="98"/>
        <v>1046.2103354377602</v>
      </c>
      <c r="Y242" s="22">
        <f>(1/(2*LOG(3.7*$I242/'Calculation Constants'!$B$3*1000)))^2</f>
        <v>9.8211436332891755E-3</v>
      </c>
      <c r="Z242" s="19">
        <f t="shared" si="87"/>
        <v>1.431963236834217</v>
      </c>
      <c r="AA242" s="19">
        <f>IF($H242&gt;0,'Calculation Constants'!$B$9*Hydraulics!$K242^2/2/9.81/MAX($F$4:$F$253)*$H242,"")</f>
        <v>7.8734226558858159E-2</v>
      </c>
      <c r="AB242" s="19">
        <f t="shared" si="109"/>
        <v>1.5106974633930752</v>
      </c>
      <c r="AC242" s="19">
        <f t="shared" si="88"/>
        <v>0</v>
      </c>
      <c r="AD242" s="19">
        <f t="shared" si="99"/>
        <v>124.69238770890524</v>
      </c>
      <c r="AE242" s="23">
        <f t="shared" si="100"/>
        <v>1034.6133877089053</v>
      </c>
      <c r="AF242" s="27">
        <f>(1/(2*LOG(3.7*$I242/'Calculation Constants'!$B$4*1000)))^2</f>
        <v>1.1575055557914658E-2</v>
      </c>
      <c r="AG242" s="19">
        <f t="shared" si="89"/>
        <v>1.6876908272744866</v>
      </c>
      <c r="AH242" s="19">
        <f>IF($H242&gt;0,'Calculation Constants'!$B$9*Hydraulics!$K242^2/2/9.81/MAX($F$4:$F$253)*$H242,"")</f>
        <v>7.8734226558858159E-2</v>
      </c>
      <c r="AI242" s="19">
        <f t="shared" si="101"/>
        <v>1.7664250538333448</v>
      </c>
      <c r="AJ242" s="19">
        <f t="shared" si="90"/>
        <v>0</v>
      </c>
      <c r="AK242" s="19">
        <f t="shared" si="102"/>
        <v>105.7685460163392</v>
      </c>
      <c r="AL242" s="23">
        <f t="shared" si="103"/>
        <v>1015.6895460163392</v>
      </c>
      <c r="AM242" s="22">
        <f>(1/(2*LOG(3.7*($I242-0.008)/'Calculation Constants'!$B$5*1000)))^2</f>
        <v>1.4709705891825043E-2</v>
      </c>
      <c r="AN242" s="19">
        <f t="shared" si="104"/>
        <v>2.1543104841910781</v>
      </c>
      <c r="AO242" s="19">
        <f>IF($H242&gt;0,'Calculation Constants'!$B$9*Hydraulics!$K242^2/2/9.81/MAX($F$4:$F$253)*$H242,"")</f>
        <v>7.8734226558858159E-2</v>
      </c>
      <c r="AP242" s="19">
        <f t="shared" si="105"/>
        <v>2.2330447107499363</v>
      </c>
      <c r="AQ242" s="19">
        <f t="shared" si="91"/>
        <v>0</v>
      </c>
      <c r="AR242" s="19">
        <f t="shared" si="106"/>
        <v>71.238691404504607</v>
      </c>
      <c r="AS242" s="23">
        <f t="shared" si="107"/>
        <v>981.15969140450466</v>
      </c>
    </row>
    <row r="243" spans="5:45">
      <c r="E243" s="35" t="str">
        <f t="shared" si="92"/>
        <v/>
      </c>
      <c r="F243" s="19">
        <f>'Profile data'!A243</f>
        <v>480</v>
      </c>
      <c r="G243" s="19">
        <f>VLOOKUP(F243,'Profile data'!A243:C502,IF($B$22="Botswana 1",2,3))</f>
        <v>926.29499999999996</v>
      </c>
      <c r="H243" s="19">
        <f t="shared" si="108"/>
        <v>2</v>
      </c>
      <c r="I243" s="19">
        <v>1.8</v>
      </c>
      <c r="J243" s="36">
        <f>'Flow Rate Calculations'!$B$7</f>
        <v>4.0831050228310497</v>
      </c>
      <c r="K243" s="36">
        <f t="shared" si="93"/>
        <v>1.6045588828318709</v>
      </c>
      <c r="L243" s="37">
        <f>$I243*$K243/'Calculation Constants'!$B$7</f>
        <v>2555934.503625989</v>
      </c>
      <c r="M243" s="37">
        <f t="shared" si="94"/>
        <v>220.11</v>
      </c>
      <c r="N243" s="23">
        <f t="shared" si="95"/>
        <v>118.56135348421651</v>
      </c>
      <c r="O243" s="57">
        <f t="shared" si="83"/>
        <v>220.11</v>
      </c>
      <c r="P243" s="66">
        <f>MAX(I243*1000/'Calculation Constants'!$B$14,O243*10*I243*1000/2/('Calculation Constants'!$B$12*1000*'Calculation Constants'!$B$13))</f>
        <v>13.206600000000003</v>
      </c>
      <c r="Q243" s="68">
        <f t="shared" si="84"/>
        <v>1163897.9115282493</v>
      </c>
      <c r="R243" s="27">
        <f>(1/(2*LOG(3.7*$I243/'Calculation Constants'!$B$2*1000)))^2</f>
        <v>8.7463077071963571E-3</v>
      </c>
      <c r="S243" s="19">
        <f t="shared" si="96"/>
        <v>1.2752477269849725</v>
      </c>
      <c r="T243" s="19">
        <f>IF($H243&gt;0,'Calculation Constants'!$B$9*Hydraulics!$K243^2/2/9.81/MAX($F$4:$F$253)*$H243,"")</f>
        <v>7.8734226558858159E-2</v>
      </c>
      <c r="U243" s="19">
        <f t="shared" si="97"/>
        <v>1.3539819535438307</v>
      </c>
      <c r="V243" s="19">
        <f t="shared" si="85"/>
        <v>0</v>
      </c>
      <c r="W243" s="19">
        <f t="shared" si="86"/>
        <v>118.56135348421651</v>
      </c>
      <c r="X243" s="23">
        <f t="shared" si="98"/>
        <v>1044.8563534842165</v>
      </c>
      <c r="Y243" s="22">
        <f>(1/(2*LOG(3.7*$I243/'Calculation Constants'!$B$3*1000)))^2</f>
        <v>9.8211436332891755E-3</v>
      </c>
      <c r="Z243" s="19">
        <f t="shared" si="87"/>
        <v>1.431963236834217</v>
      </c>
      <c r="AA243" s="19">
        <f>IF($H243&gt;0,'Calculation Constants'!$B$9*Hydraulics!$K243^2/2/9.81/MAX($F$4:$F$253)*$H243,"")</f>
        <v>7.8734226558858159E-2</v>
      </c>
      <c r="AB243" s="19">
        <f t="shared" si="109"/>
        <v>1.5106974633930752</v>
      </c>
      <c r="AC243" s="19">
        <f t="shared" si="88"/>
        <v>0</v>
      </c>
      <c r="AD243" s="19">
        <f t="shared" si="99"/>
        <v>106.80769024551216</v>
      </c>
      <c r="AE243" s="23">
        <f t="shared" si="100"/>
        <v>1033.1026902455121</v>
      </c>
      <c r="AF243" s="27">
        <f>(1/(2*LOG(3.7*$I243/'Calculation Constants'!$B$4*1000)))^2</f>
        <v>1.1575055557914658E-2</v>
      </c>
      <c r="AG243" s="19">
        <f t="shared" si="89"/>
        <v>1.6876908272744866</v>
      </c>
      <c r="AH243" s="19">
        <f>IF($H243&gt;0,'Calculation Constants'!$B$9*Hydraulics!$K243^2/2/9.81/MAX($F$4:$F$253)*$H243,"")</f>
        <v>7.8734226558858159E-2</v>
      </c>
      <c r="AI243" s="19">
        <f t="shared" si="101"/>
        <v>1.7664250538333448</v>
      </c>
      <c r="AJ243" s="19">
        <f t="shared" si="90"/>
        <v>0</v>
      </c>
      <c r="AK243" s="19">
        <f t="shared" si="102"/>
        <v>87.628120962505932</v>
      </c>
      <c r="AL243" s="23">
        <f t="shared" si="103"/>
        <v>1013.9231209625059</v>
      </c>
      <c r="AM243" s="22">
        <f>(1/(2*LOG(3.7*($I243-0.008)/'Calculation Constants'!$B$5*1000)))^2</f>
        <v>1.4709705891825043E-2</v>
      </c>
      <c r="AN243" s="19">
        <f t="shared" si="104"/>
        <v>2.1543104841910781</v>
      </c>
      <c r="AO243" s="19">
        <f>IF($H243&gt;0,'Calculation Constants'!$B$9*Hydraulics!$K243^2/2/9.81/MAX($F$4:$F$253)*$H243,"")</f>
        <v>7.8734226558858159E-2</v>
      </c>
      <c r="AP243" s="19">
        <f t="shared" si="105"/>
        <v>2.2330447107499363</v>
      </c>
      <c r="AQ243" s="19">
        <f t="shared" si="91"/>
        <v>0</v>
      </c>
      <c r="AR243" s="19">
        <f t="shared" si="106"/>
        <v>52.63164669375476</v>
      </c>
      <c r="AS243" s="23">
        <f t="shared" si="107"/>
        <v>978.92664669375472</v>
      </c>
    </row>
    <row r="244" spans="5:45">
      <c r="E244" s="35" t="str">
        <f t="shared" si="92"/>
        <v/>
      </c>
      <c r="F244" s="19">
        <f>'Profile data'!A244</f>
        <v>482</v>
      </c>
      <c r="G244" s="19">
        <f>VLOOKUP(F244,'Profile data'!A244:C503,IF($B$22="Botswana 1",2,3))</f>
        <v>924.88800000000003</v>
      </c>
      <c r="H244" s="19">
        <f t="shared" si="108"/>
        <v>2</v>
      </c>
      <c r="I244" s="19">
        <v>1.5</v>
      </c>
      <c r="J244" s="36">
        <f>'Flow Rate Calculations'!$B$7</f>
        <v>4.0831050228310497</v>
      </c>
      <c r="K244" s="36">
        <f t="shared" si="93"/>
        <v>2.3105647912778942</v>
      </c>
      <c r="L244" s="37">
        <f>$I244*$K244/'Calculation Constants'!$B$7</f>
        <v>3067121.4043511869</v>
      </c>
      <c r="M244" s="37">
        <f t="shared" si="94"/>
        <v>221.51699999999994</v>
      </c>
      <c r="N244" s="23">
        <f t="shared" si="95"/>
        <v>116.53574266126509</v>
      </c>
      <c r="O244" s="57">
        <f t="shared" si="83"/>
        <v>221.51699999999994</v>
      </c>
      <c r="P244" s="66">
        <f>MAX(I244*1000/'Calculation Constants'!$B$14,O244*10*I244*1000/2/('Calculation Constants'!$B$12*1000*'Calculation Constants'!$B$13))</f>
        <v>11.075849999999996</v>
      </c>
      <c r="Q244" s="68">
        <f t="shared" si="84"/>
        <v>813390.62913965737</v>
      </c>
      <c r="R244" s="27">
        <f>(1/(2*LOG(3.7*$I244/'Calculation Constants'!$B$2*1000)))^2</f>
        <v>9.0112502883211744E-3</v>
      </c>
      <c r="S244" s="19">
        <f t="shared" si="96"/>
        <v>3.2693475307588078</v>
      </c>
      <c r="T244" s="19">
        <f>IF($H244&gt;0,'Calculation Constants'!$B$9*Hydraulics!$K244^2/2/9.81/MAX($F$4:$F$253)*$H244,"")</f>
        <v>0.16326329219244826</v>
      </c>
      <c r="U244" s="19">
        <f t="shared" si="97"/>
        <v>3.432610822951256</v>
      </c>
      <c r="V244" s="19">
        <f t="shared" si="85"/>
        <v>0</v>
      </c>
      <c r="W244" s="19">
        <f t="shared" si="86"/>
        <v>116.53574266126509</v>
      </c>
      <c r="X244" s="23">
        <f t="shared" si="98"/>
        <v>1041.4237426612651</v>
      </c>
      <c r="Y244" s="22">
        <f>(1/(2*LOG(3.7*$I244/'Calculation Constants'!$B$3*1000)))^2</f>
        <v>1.0136821254400123E-2</v>
      </c>
      <c r="Z244" s="19">
        <f t="shared" si="87"/>
        <v>3.6777129119105498</v>
      </c>
      <c r="AA244" s="19">
        <f>IF($H244&gt;0,'Calculation Constants'!$B$9*Hydraulics!$K244^2/2/9.81/MAX($F$4:$F$253)*$H244,"")</f>
        <v>0.16326329219244826</v>
      </c>
      <c r="AB244" s="19">
        <f t="shared" si="109"/>
        <v>3.840976204102998</v>
      </c>
      <c r="AC244" s="19">
        <f t="shared" si="88"/>
        <v>0</v>
      </c>
      <c r="AD244" s="19">
        <f t="shared" si="99"/>
        <v>104.37371404140902</v>
      </c>
      <c r="AE244" s="23">
        <f t="shared" si="100"/>
        <v>1029.261714041409</v>
      </c>
      <c r="AF244" s="27">
        <f>(1/(2*LOG(3.7*$I244/'Calculation Constants'!$B$4*1000)))^2</f>
        <v>1.1979797083255311E-2</v>
      </c>
      <c r="AG244" s="19">
        <f t="shared" si="89"/>
        <v>4.3463580257994474</v>
      </c>
      <c r="AH244" s="19">
        <f>IF($H244&gt;0,'Calculation Constants'!$B$9*Hydraulics!$K244^2/2/9.81/MAX($F$4:$F$253)*$H244,"")</f>
        <v>0.16326329219244826</v>
      </c>
      <c r="AI244" s="19">
        <f t="shared" si="101"/>
        <v>4.509621317991896</v>
      </c>
      <c r="AJ244" s="19">
        <f t="shared" si="90"/>
        <v>0</v>
      </c>
      <c r="AK244" s="19">
        <f t="shared" si="102"/>
        <v>84.525499644513957</v>
      </c>
      <c r="AL244" s="23">
        <f t="shared" si="103"/>
        <v>1009.413499644514</v>
      </c>
      <c r="AM244" s="22">
        <f>(1/(2*LOG(3.7*($I244-0.008)/'Calculation Constants'!$B$5*1000)))^2</f>
        <v>1.5294398771411635E-2</v>
      </c>
      <c r="AN244" s="19">
        <f t="shared" si="104"/>
        <v>5.5786726888400349</v>
      </c>
      <c r="AO244" s="19">
        <f>IF($H244&gt;0,'Calculation Constants'!$B$9*Hydraulics!$K244^2/2/9.81/MAX($F$4:$F$253)*$H244,"")</f>
        <v>0.16326329219244826</v>
      </c>
      <c r="AP244" s="19">
        <f t="shared" si="105"/>
        <v>5.7419359810324835</v>
      </c>
      <c r="AQ244" s="19">
        <f t="shared" si="91"/>
        <v>0</v>
      </c>
      <c r="AR244" s="19">
        <f t="shared" si="106"/>
        <v>48.296710712722188</v>
      </c>
      <c r="AS244" s="23">
        <f t="shared" si="107"/>
        <v>973.18471071272222</v>
      </c>
    </row>
    <row r="245" spans="5:45">
      <c r="E245" s="35" t="str">
        <f t="shared" si="92"/>
        <v/>
      </c>
      <c r="F245" s="19">
        <f>'Profile data'!A245</f>
        <v>484</v>
      </c>
      <c r="G245" s="19">
        <f>VLOOKUP(F245,'Profile data'!A245:C504,IF($B$22="Botswana 1",2,3))</f>
        <v>919.04399999999998</v>
      </c>
      <c r="H245" s="19">
        <f t="shared" si="108"/>
        <v>2</v>
      </c>
      <c r="I245" s="19">
        <v>1.5</v>
      </c>
      <c r="J245" s="36">
        <f>'Flow Rate Calculations'!$B$7</f>
        <v>4.0831050228310497</v>
      </c>
      <c r="K245" s="36">
        <f t="shared" si="93"/>
        <v>2.3105647912778942</v>
      </c>
      <c r="L245" s="37">
        <f>$I245*$K245/'Calculation Constants'!$B$7</f>
        <v>3067121.4043511869</v>
      </c>
      <c r="M245" s="37">
        <f t="shared" si="94"/>
        <v>227.36099999999999</v>
      </c>
      <c r="N245" s="23">
        <f t="shared" si="95"/>
        <v>118.94713183831379</v>
      </c>
      <c r="O245" s="57">
        <f t="shared" si="83"/>
        <v>227.36099999999999</v>
      </c>
      <c r="P245" s="66">
        <f>MAX(I245*1000/'Calculation Constants'!$B$14,O245*10*I245*1000/2/('Calculation Constants'!$B$12*1000*'Calculation Constants'!$B$13))</f>
        <v>11.368049999999998</v>
      </c>
      <c r="Q245" s="68">
        <f t="shared" si="84"/>
        <v>834685.43651199143</v>
      </c>
      <c r="R245" s="27">
        <f>(1/(2*LOG(3.7*$I245/'Calculation Constants'!$B$2*1000)))^2</f>
        <v>9.0112502883211744E-3</v>
      </c>
      <c r="S245" s="19">
        <f t="shared" si="96"/>
        <v>3.2693475307588078</v>
      </c>
      <c r="T245" s="19">
        <f>IF($H245&gt;0,'Calculation Constants'!$B$9*Hydraulics!$K245^2/2/9.81/MAX($F$4:$F$253)*$H245,"")</f>
        <v>0.16326329219244826</v>
      </c>
      <c r="U245" s="19">
        <f t="shared" si="97"/>
        <v>3.432610822951256</v>
      </c>
      <c r="V245" s="19">
        <f t="shared" si="85"/>
        <v>0</v>
      </c>
      <c r="W245" s="19">
        <f t="shared" si="86"/>
        <v>118.94713183831379</v>
      </c>
      <c r="X245" s="23">
        <f t="shared" si="98"/>
        <v>1037.9911318383138</v>
      </c>
      <c r="Y245" s="22">
        <f>(1/(2*LOG(3.7*$I245/'Calculation Constants'!$B$3*1000)))^2</f>
        <v>1.0136821254400123E-2</v>
      </c>
      <c r="Z245" s="19">
        <f t="shared" si="87"/>
        <v>3.6777129119105498</v>
      </c>
      <c r="AA245" s="19">
        <f>IF($H245&gt;0,'Calculation Constants'!$B$9*Hydraulics!$K245^2/2/9.81/MAX($F$4:$F$253)*$H245,"")</f>
        <v>0.16326329219244826</v>
      </c>
      <c r="AB245" s="19">
        <f t="shared" si="109"/>
        <v>3.840976204102998</v>
      </c>
      <c r="AC245" s="19">
        <f t="shared" si="88"/>
        <v>0</v>
      </c>
      <c r="AD245" s="19">
        <f t="shared" si="99"/>
        <v>106.376737837306</v>
      </c>
      <c r="AE245" s="23">
        <f t="shared" si="100"/>
        <v>1025.420737837306</v>
      </c>
      <c r="AF245" s="27">
        <f>(1/(2*LOG(3.7*$I245/'Calculation Constants'!$B$4*1000)))^2</f>
        <v>1.1979797083255311E-2</v>
      </c>
      <c r="AG245" s="19">
        <f t="shared" si="89"/>
        <v>4.3463580257994474</v>
      </c>
      <c r="AH245" s="19">
        <f>IF($H245&gt;0,'Calculation Constants'!$B$9*Hydraulics!$K245^2/2/9.81/MAX($F$4:$F$253)*$H245,"")</f>
        <v>0.16326329219244826</v>
      </c>
      <c r="AI245" s="19">
        <f t="shared" si="101"/>
        <v>4.509621317991896</v>
      </c>
      <c r="AJ245" s="19">
        <f t="shared" si="90"/>
        <v>0</v>
      </c>
      <c r="AK245" s="19">
        <f t="shared" si="102"/>
        <v>85.859878326522107</v>
      </c>
      <c r="AL245" s="23">
        <f t="shared" si="103"/>
        <v>1004.9038783265221</v>
      </c>
      <c r="AM245" s="22">
        <f>(1/(2*LOG(3.7*($I245-0.008)/'Calculation Constants'!$B$5*1000)))^2</f>
        <v>1.5294398771411635E-2</v>
      </c>
      <c r="AN245" s="19">
        <f t="shared" si="104"/>
        <v>5.5786726888400349</v>
      </c>
      <c r="AO245" s="19">
        <f>IF($H245&gt;0,'Calculation Constants'!$B$9*Hydraulics!$K245^2/2/9.81/MAX($F$4:$F$253)*$H245,"")</f>
        <v>0.16326329219244826</v>
      </c>
      <c r="AP245" s="19">
        <f t="shared" si="105"/>
        <v>5.7419359810324835</v>
      </c>
      <c r="AQ245" s="19">
        <f t="shared" si="91"/>
        <v>0</v>
      </c>
      <c r="AR245" s="19">
        <f t="shared" si="106"/>
        <v>48.398774731689741</v>
      </c>
      <c r="AS245" s="23">
        <f t="shared" si="107"/>
        <v>967.44277473168972</v>
      </c>
    </row>
    <row r="246" spans="5:45">
      <c r="E246" s="35" t="str">
        <f t="shared" si="92"/>
        <v/>
      </c>
      <c r="F246" s="19">
        <f>'Profile data'!A246</f>
        <v>486</v>
      </c>
      <c r="G246" s="19">
        <f>VLOOKUP(F246,'Profile data'!A246:C505,IF($B$22="Botswana 1",2,3))</f>
        <v>911.16399999999999</v>
      </c>
      <c r="H246" s="19">
        <f t="shared" si="108"/>
        <v>2</v>
      </c>
      <c r="I246" s="19">
        <v>1.5</v>
      </c>
      <c r="J246" s="36">
        <f>'Flow Rate Calculations'!$B$7</f>
        <v>4.0831050228310497</v>
      </c>
      <c r="K246" s="36">
        <f t="shared" si="93"/>
        <v>2.3105647912778942</v>
      </c>
      <c r="L246" s="37">
        <f>$I246*$K246/'Calculation Constants'!$B$7</f>
        <v>3067121.4043511869</v>
      </c>
      <c r="M246" s="37">
        <f t="shared" si="94"/>
        <v>235.24099999999999</v>
      </c>
      <c r="N246" s="23">
        <f t="shared" si="95"/>
        <v>123.39452101536244</v>
      </c>
      <c r="O246" s="57">
        <f t="shared" si="83"/>
        <v>235.24099999999999</v>
      </c>
      <c r="P246" s="66">
        <f>MAX(I246*1000/'Calculation Constants'!$B$14,O246*10*I246*1000/2/('Calculation Constants'!$B$12*1000*'Calculation Constants'!$B$13))</f>
        <v>11.76205</v>
      </c>
      <c r="Q246" s="68">
        <f t="shared" si="84"/>
        <v>863385.83893099357</v>
      </c>
      <c r="R246" s="27">
        <f>(1/(2*LOG(3.7*$I246/'Calculation Constants'!$B$2*1000)))^2</f>
        <v>9.0112502883211744E-3</v>
      </c>
      <c r="S246" s="19">
        <f t="shared" si="96"/>
        <v>3.2693475307588078</v>
      </c>
      <c r="T246" s="19">
        <f>IF($H246&gt;0,'Calculation Constants'!$B$9*Hydraulics!$K246^2/2/9.81/MAX($F$4:$F$253)*$H246,"")</f>
        <v>0.16326329219244826</v>
      </c>
      <c r="U246" s="19">
        <f t="shared" si="97"/>
        <v>3.432610822951256</v>
      </c>
      <c r="V246" s="19">
        <f t="shared" si="85"/>
        <v>0</v>
      </c>
      <c r="W246" s="19">
        <f t="shared" si="86"/>
        <v>123.39452101536244</v>
      </c>
      <c r="X246" s="23">
        <f t="shared" si="98"/>
        <v>1034.5585210153624</v>
      </c>
      <c r="Y246" s="22">
        <f>(1/(2*LOG(3.7*$I246/'Calculation Constants'!$B$3*1000)))^2</f>
        <v>1.0136821254400123E-2</v>
      </c>
      <c r="Z246" s="19">
        <f t="shared" si="87"/>
        <v>3.6777129119105498</v>
      </c>
      <c r="AA246" s="19">
        <f>IF($H246&gt;0,'Calculation Constants'!$B$9*Hydraulics!$K246^2/2/9.81/MAX($F$4:$F$253)*$H246,"")</f>
        <v>0.16326329219244826</v>
      </c>
      <c r="AB246" s="19">
        <f t="shared" si="109"/>
        <v>3.840976204102998</v>
      </c>
      <c r="AC246" s="19">
        <f t="shared" si="88"/>
        <v>0</v>
      </c>
      <c r="AD246" s="19">
        <f t="shared" si="99"/>
        <v>110.41576163320303</v>
      </c>
      <c r="AE246" s="23">
        <f t="shared" si="100"/>
        <v>1021.579761633203</v>
      </c>
      <c r="AF246" s="27">
        <f>(1/(2*LOG(3.7*$I246/'Calculation Constants'!$B$4*1000)))^2</f>
        <v>1.1979797083255311E-2</v>
      </c>
      <c r="AG246" s="19">
        <f t="shared" si="89"/>
        <v>4.3463580257994474</v>
      </c>
      <c r="AH246" s="19">
        <f>IF($H246&gt;0,'Calculation Constants'!$B$9*Hydraulics!$K246^2/2/9.81/MAX($F$4:$F$253)*$H246,"")</f>
        <v>0.16326329219244826</v>
      </c>
      <c r="AI246" s="19">
        <f t="shared" si="101"/>
        <v>4.509621317991896</v>
      </c>
      <c r="AJ246" s="19">
        <f t="shared" si="90"/>
        <v>0</v>
      </c>
      <c r="AK246" s="19">
        <f t="shared" si="102"/>
        <v>89.230257008530202</v>
      </c>
      <c r="AL246" s="23">
        <f t="shared" si="103"/>
        <v>1000.3942570085302</v>
      </c>
      <c r="AM246" s="22">
        <f>(1/(2*LOG(3.7*($I246-0.008)/'Calculation Constants'!$B$5*1000)))^2</f>
        <v>1.5294398771411635E-2</v>
      </c>
      <c r="AN246" s="19">
        <f t="shared" si="104"/>
        <v>5.5786726888400349</v>
      </c>
      <c r="AO246" s="19">
        <f>IF($H246&gt;0,'Calculation Constants'!$B$9*Hydraulics!$K246^2/2/9.81/MAX($F$4:$F$253)*$H246,"")</f>
        <v>0.16326329219244826</v>
      </c>
      <c r="AP246" s="19">
        <f t="shared" si="105"/>
        <v>5.7419359810324835</v>
      </c>
      <c r="AQ246" s="19">
        <f t="shared" si="91"/>
        <v>0</v>
      </c>
      <c r="AR246" s="19">
        <f t="shared" si="106"/>
        <v>50.536838750657239</v>
      </c>
      <c r="AS246" s="23">
        <f t="shared" si="107"/>
        <v>961.70083875065723</v>
      </c>
    </row>
    <row r="247" spans="5:45">
      <c r="E247" s="35" t="str">
        <f t="shared" si="92"/>
        <v/>
      </c>
      <c r="F247" s="19">
        <f>'Profile data'!A247</f>
        <v>488</v>
      </c>
      <c r="G247" s="19">
        <f>VLOOKUP(F247,'Profile data'!A247:C506,IF($B$22="Botswana 1",2,3))</f>
        <v>903.89300000000003</v>
      </c>
      <c r="H247" s="19">
        <f t="shared" si="108"/>
        <v>2</v>
      </c>
      <c r="I247" s="19">
        <v>1.5</v>
      </c>
      <c r="J247" s="36">
        <f>'Flow Rate Calculations'!$B$7</f>
        <v>4.0831050228310497</v>
      </c>
      <c r="K247" s="36">
        <f t="shared" si="93"/>
        <v>2.3105647912778942</v>
      </c>
      <c r="L247" s="37">
        <f>$I247*$K247/'Calculation Constants'!$B$7</f>
        <v>3067121.4043511869</v>
      </c>
      <c r="M247" s="37">
        <f t="shared" si="94"/>
        <v>242.51199999999994</v>
      </c>
      <c r="N247" s="23">
        <f t="shared" si="95"/>
        <v>127.23291019241105</v>
      </c>
      <c r="O247" s="57">
        <f t="shared" si="83"/>
        <v>242.51199999999994</v>
      </c>
      <c r="P247" s="66">
        <f>MAX(I247*1000/'Calculation Constants'!$B$14,O247*10*I247*1000/2/('Calculation Constants'!$B$12*1000*'Calculation Constants'!$B$13))</f>
        <v>12.125599999999999</v>
      </c>
      <c r="Q247" s="68">
        <f t="shared" si="84"/>
        <v>889854.56795802689</v>
      </c>
      <c r="R247" s="27">
        <f>(1/(2*LOG(3.7*$I247/'Calculation Constants'!$B$2*1000)))^2</f>
        <v>9.0112502883211744E-3</v>
      </c>
      <c r="S247" s="19">
        <f t="shared" si="96"/>
        <v>3.2693475307588078</v>
      </c>
      <c r="T247" s="19">
        <f>IF($H247&gt;0,'Calculation Constants'!$B$9*Hydraulics!$K247^2/2/9.81/MAX($F$4:$F$253)*$H247,"")</f>
        <v>0.16326329219244826</v>
      </c>
      <c r="U247" s="19">
        <f t="shared" si="97"/>
        <v>3.432610822951256</v>
      </c>
      <c r="V247" s="19">
        <f t="shared" si="85"/>
        <v>0</v>
      </c>
      <c r="W247" s="19">
        <f t="shared" si="86"/>
        <v>127.23291019241105</v>
      </c>
      <c r="X247" s="23">
        <f t="shared" si="98"/>
        <v>1031.1259101924111</v>
      </c>
      <c r="Y247" s="22">
        <f>(1/(2*LOG(3.7*$I247/'Calculation Constants'!$B$3*1000)))^2</f>
        <v>1.0136821254400123E-2</v>
      </c>
      <c r="Z247" s="19">
        <f t="shared" si="87"/>
        <v>3.6777129119105498</v>
      </c>
      <c r="AA247" s="19">
        <f>IF($H247&gt;0,'Calculation Constants'!$B$9*Hydraulics!$K247^2/2/9.81/MAX($F$4:$F$253)*$H247,"")</f>
        <v>0.16326329219244826</v>
      </c>
      <c r="AB247" s="19">
        <f t="shared" si="109"/>
        <v>3.840976204102998</v>
      </c>
      <c r="AC247" s="19">
        <f t="shared" si="88"/>
        <v>0</v>
      </c>
      <c r="AD247" s="19">
        <f t="shared" si="99"/>
        <v>113.84578542910003</v>
      </c>
      <c r="AE247" s="23">
        <f t="shared" si="100"/>
        <v>1017.7387854291001</v>
      </c>
      <c r="AF247" s="27">
        <f>(1/(2*LOG(3.7*$I247/'Calculation Constants'!$B$4*1000)))^2</f>
        <v>1.1979797083255311E-2</v>
      </c>
      <c r="AG247" s="19">
        <f t="shared" si="89"/>
        <v>4.3463580257994474</v>
      </c>
      <c r="AH247" s="19">
        <f>IF($H247&gt;0,'Calculation Constants'!$B$9*Hydraulics!$K247^2/2/9.81/MAX($F$4:$F$253)*$H247,"")</f>
        <v>0.16326329219244826</v>
      </c>
      <c r="AI247" s="19">
        <f t="shared" si="101"/>
        <v>4.509621317991896</v>
      </c>
      <c r="AJ247" s="19">
        <f t="shared" si="90"/>
        <v>0</v>
      </c>
      <c r="AK247" s="19">
        <f t="shared" si="102"/>
        <v>91.99163569053826</v>
      </c>
      <c r="AL247" s="23">
        <f t="shared" si="103"/>
        <v>995.88463569053829</v>
      </c>
      <c r="AM247" s="22">
        <f>(1/(2*LOG(3.7*($I247-0.008)/'Calculation Constants'!$B$5*1000)))^2</f>
        <v>1.5294398771411635E-2</v>
      </c>
      <c r="AN247" s="19">
        <f t="shared" si="104"/>
        <v>5.5786726888400349</v>
      </c>
      <c r="AO247" s="19">
        <f>IF($H247&gt;0,'Calculation Constants'!$B$9*Hydraulics!$K247^2/2/9.81/MAX($F$4:$F$253)*$H247,"")</f>
        <v>0.16326329219244826</v>
      </c>
      <c r="AP247" s="19">
        <f t="shared" si="105"/>
        <v>5.7419359810324835</v>
      </c>
      <c r="AQ247" s="19">
        <f t="shared" si="91"/>
        <v>0</v>
      </c>
      <c r="AR247" s="19">
        <f t="shared" si="106"/>
        <v>52.065902769624699</v>
      </c>
      <c r="AS247" s="23">
        <f t="shared" si="107"/>
        <v>955.95890276962473</v>
      </c>
    </row>
    <row r="248" spans="5:45">
      <c r="E248" s="35" t="str">
        <f t="shared" si="92"/>
        <v/>
      </c>
      <c r="F248" s="19">
        <f>'Profile data'!A248</f>
        <v>490</v>
      </c>
      <c r="G248" s="19">
        <f>VLOOKUP(F248,'Profile data'!A248:C507,IF($B$22="Botswana 1",2,3))</f>
        <v>901.95299999999997</v>
      </c>
      <c r="H248" s="19">
        <f t="shared" si="108"/>
        <v>2</v>
      </c>
      <c r="I248" s="19">
        <v>1.5</v>
      </c>
      <c r="J248" s="36">
        <f>'Flow Rate Calculations'!$B$7</f>
        <v>4.0831050228310497</v>
      </c>
      <c r="K248" s="36">
        <f t="shared" si="93"/>
        <v>2.3105647912778942</v>
      </c>
      <c r="L248" s="37">
        <f>$I248*$K248/'Calculation Constants'!$B$7</f>
        <v>3067121.4043511869</v>
      </c>
      <c r="M248" s="37">
        <f t="shared" si="94"/>
        <v>244.452</v>
      </c>
      <c r="N248" s="23">
        <f t="shared" si="95"/>
        <v>125.74029936945976</v>
      </c>
      <c r="O248" s="57">
        <f t="shared" si="83"/>
        <v>244.452</v>
      </c>
      <c r="P248" s="66">
        <f>MAX(I248*1000/'Calculation Constants'!$B$14,O248*10*I248*1000/2/('Calculation Constants'!$B$12*1000*'Calculation Constants'!$B$13))</f>
        <v>12.222599999999998</v>
      </c>
      <c r="Q248" s="68">
        <f t="shared" si="84"/>
        <v>896914.57527719741</v>
      </c>
      <c r="R248" s="27">
        <f>(1/(2*LOG(3.7*$I248/'Calculation Constants'!$B$2*1000)))^2</f>
        <v>9.0112502883211744E-3</v>
      </c>
      <c r="S248" s="19">
        <f t="shared" si="96"/>
        <v>3.2693475307588078</v>
      </c>
      <c r="T248" s="19">
        <f>IF($H248&gt;0,'Calculation Constants'!$B$9*Hydraulics!$K248^2/2/9.81/MAX($F$4:$F$253)*$H248,"")</f>
        <v>0.16326329219244826</v>
      </c>
      <c r="U248" s="19">
        <f t="shared" si="97"/>
        <v>3.432610822951256</v>
      </c>
      <c r="V248" s="19">
        <f t="shared" si="85"/>
        <v>0</v>
      </c>
      <c r="W248" s="19">
        <f t="shared" si="86"/>
        <v>125.74029936945976</v>
      </c>
      <c r="X248" s="23">
        <f t="shared" si="98"/>
        <v>1027.6932993694597</v>
      </c>
      <c r="Y248" s="22">
        <f>(1/(2*LOG(3.7*$I248/'Calculation Constants'!$B$3*1000)))^2</f>
        <v>1.0136821254400123E-2</v>
      </c>
      <c r="Z248" s="19">
        <f t="shared" si="87"/>
        <v>3.6777129119105498</v>
      </c>
      <c r="AA248" s="19">
        <f>IF($H248&gt;0,'Calculation Constants'!$B$9*Hydraulics!$K248^2/2/9.81/MAX($F$4:$F$253)*$H248,"")</f>
        <v>0.16326329219244826</v>
      </c>
      <c r="AB248" s="19">
        <f t="shared" si="109"/>
        <v>3.840976204102998</v>
      </c>
      <c r="AC248" s="19">
        <f t="shared" si="88"/>
        <v>0</v>
      </c>
      <c r="AD248" s="19">
        <f t="shared" si="99"/>
        <v>111.94480922499713</v>
      </c>
      <c r="AE248" s="23">
        <f t="shared" si="100"/>
        <v>1013.8978092249971</v>
      </c>
      <c r="AF248" s="27">
        <f>(1/(2*LOG(3.7*$I248/'Calculation Constants'!$B$4*1000)))^2</f>
        <v>1.1979797083255311E-2</v>
      </c>
      <c r="AG248" s="19">
        <f t="shared" si="89"/>
        <v>4.3463580257994474</v>
      </c>
      <c r="AH248" s="19">
        <f>IF($H248&gt;0,'Calculation Constants'!$B$9*Hydraulics!$K248^2/2/9.81/MAX($F$4:$F$253)*$H248,"")</f>
        <v>0.16326329219244826</v>
      </c>
      <c r="AI248" s="19">
        <f t="shared" si="101"/>
        <v>4.509621317991896</v>
      </c>
      <c r="AJ248" s="19">
        <f t="shared" si="90"/>
        <v>0</v>
      </c>
      <c r="AK248" s="19">
        <f t="shared" si="102"/>
        <v>89.422014372546414</v>
      </c>
      <c r="AL248" s="23">
        <f t="shared" si="103"/>
        <v>991.37501437254639</v>
      </c>
      <c r="AM248" s="22">
        <f>(1/(2*LOG(3.7*($I248-0.008)/'Calculation Constants'!$B$5*1000)))^2</f>
        <v>1.5294398771411635E-2</v>
      </c>
      <c r="AN248" s="19">
        <f t="shared" si="104"/>
        <v>5.5786726888400349</v>
      </c>
      <c r="AO248" s="19">
        <f>IF($H248&gt;0,'Calculation Constants'!$B$9*Hydraulics!$K248^2/2/9.81/MAX($F$4:$F$253)*$H248,"")</f>
        <v>0.16326329219244826</v>
      </c>
      <c r="AP248" s="19">
        <f t="shared" si="105"/>
        <v>5.7419359810324835</v>
      </c>
      <c r="AQ248" s="19">
        <f t="shared" si="91"/>
        <v>0</v>
      </c>
      <c r="AR248" s="19">
        <f t="shared" si="106"/>
        <v>48.263966788592256</v>
      </c>
      <c r="AS248" s="23">
        <f t="shared" si="107"/>
        <v>950.21696678859223</v>
      </c>
    </row>
    <row r="249" spans="5:45">
      <c r="E249" s="35" t="str">
        <f t="shared" si="92"/>
        <v/>
      </c>
      <c r="F249" s="19">
        <f>'Profile data'!A249</f>
        <v>492</v>
      </c>
      <c r="G249" s="19">
        <f>VLOOKUP(F249,'Profile data'!A249:C508,IF($B$22="Botswana 1",2,3))</f>
        <v>900.19799999999998</v>
      </c>
      <c r="H249" s="19">
        <f t="shared" si="108"/>
        <v>2</v>
      </c>
      <c r="I249" s="19">
        <v>1.5</v>
      </c>
      <c r="J249" s="36">
        <f>'Flow Rate Calculations'!$B$7</f>
        <v>4.0831050228310497</v>
      </c>
      <c r="K249" s="36">
        <f t="shared" si="93"/>
        <v>2.3105647912778942</v>
      </c>
      <c r="L249" s="37">
        <f>$I249*$K249/'Calculation Constants'!$B$7</f>
        <v>3067121.4043511869</v>
      </c>
      <c r="M249" s="37">
        <f t="shared" si="94"/>
        <v>246.20699999999999</v>
      </c>
      <c r="N249" s="23">
        <f t="shared" si="95"/>
        <v>124.06268854650841</v>
      </c>
      <c r="O249" s="57">
        <f t="shared" si="83"/>
        <v>246.20699999999999</v>
      </c>
      <c r="P249" s="66">
        <f>MAX(I249*1000/'Calculation Constants'!$B$14,O249*10*I249*1000/2/('Calculation Constants'!$B$12*1000*'Calculation Constants'!$B$13))</f>
        <v>12.310349999999998</v>
      </c>
      <c r="Q249" s="68">
        <f t="shared" si="84"/>
        <v>903300.53486042097</v>
      </c>
      <c r="R249" s="27">
        <f>(1/(2*LOG(3.7*$I249/'Calculation Constants'!$B$2*1000)))^2</f>
        <v>9.0112502883211744E-3</v>
      </c>
      <c r="S249" s="19">
        <f t="shared" si="96"/>
        <v>3.2693475307588078</v>
      </c>
      <c r="T249" s="19">
        <f>IF($H249&gt;0,'Calculation Constants'!$B$9*Hydraulics!$K249^2/2/9.81/MAX($F$4:$F$253)*$H249,"")</f>
        <v>0.16326329219244826</v>
      </c>
      <c r="U249" s="19">
        <f t="shared" si="97"/>
        <v>3.432610822951256</v>
      </c>
      <c r="V249" s="19">
        <f t="shared" si="85"/>
        <v>0</v>
      </c>
      <c r="W249" s="19">
        <f t="shared" si="86"/>
        <v>124.06268854650841</v>
      </c>
      <c r="X249" s="23">
        <f t="shared" si="98"/>
        <v>1024.2606885465084</v>
      </c>
      <c r="Y249" s="22">
        <f>(1/(2*LOG(3.7*$I249/'Calculation Constants'!$B$3*1000)))^2</f>
        <v>1.0136821254400123E-2</v>
      </c>
      <c r="Z249" s="19">
        <f t="shared" si="87"/>
        <v>3.6777129119105498</v>
      </c>
      <c r="AA249" s="19">
        <f>IF($H249&gt;0,'Calculation Constants'!$B$9*Hydraulics!$K249^2/2/9.81/MAX($F$4:$F$253)*$H249,"")</f>
        <v>0.16326329219244826</v>
      </c>
      <c r="AB249" s="19">
        <f t="shared" si="109"/>
        <v>3.840976204102998</v>
      </c>
      <c r="AC249" s="19">
        <f t="shared" si="88"/>
        <v>0</v>
      </c>
      <c r="AD249" s="19">
        <f t="shared" si="99"/>
        <v>109.85883302089417</v>
      </c>
      <c r="AE249" s="23">
        <f t="shared" si="100"/>
        <v>1010.0568330208941</v>
      </c>
      <c r="AF249" s="27">
        <f>(1/(2*LOG(3.7*$I249/'Calculation Constants'!$B$4*1000)))^2</f>
        <v>1.1979797083255311E-2</v>
      </c>
      <c r="AG249" s="19">
        <f t="shared" si="89"/>
        <v>4.3463580257994474</v>
      </c>
      <c r="AH249" s="19">
        <f>IF($H249&gt;0,'Calculation Constants'!$B$9*Hydraulics!$K249^2/2/9.81/MAX($F$4:$F$253)*$H249,"")</f>
        <v>0.16326329219244826</v>
      </c>
      <c r="AI249" s="19">
        <f t="shared" si="101"/>
        <v>4.509621317991896</v>
      </c>
      <c r="AJ249" s="19">
        <f t="shared" si="90"/>
        <v>0</v>
      </c>
      <c r="AK249" s="19">
        <f t="shared" si="102"/>
        <v>86.667393054554509</v>
      </c>
      <c r="AL249" s="23">
        <f t="shared" si="103"/>
        <v>986.86539305455449</v>
      </c>
      <c r="AM249" s="22">
        <f>(1/(2*LOG(3.7*($I249-0.008)/'Calculation Constants'!$B$5*1000)))^2</f>
        <v>1.5294398771411635E-2</v>
      </c>
      <c r="AN249" s="19">
        <f t="shared" si="104"/>
        <v>5.5786726888400349</v>
      </c>
      <c r="AO249" s="19">
        <f>IF($H249&gt;0,'Calculation Constants'!$B$9*Hydraulics!$K249^2/2/9.81/MAX($F$4:$F$253)*$H249,"")</f>
        <v>0.16326329219244826</v>
      </c>
      <c r="AP249" s="19">
        <f t="shared" si="105"/>
        <v>5.7419359810324835</v>
      </c>
      <c r="AQ249" s="19">
        <f t="shared" si="91"/>
        <v>0</v>
      </c>
      <c r="AR249" s="19">
        <f t="shared" si="106"/>
        <v>44.277030807559754</v>
      </c>
      <c r="AS249" s="23">
        <f t="shared" si="107"/>
        <v>944.47503080755973</v>
      </c>
    </row>
    <row r="250" spans="5:45">
      <c r="E250" s="35" t="str">
        <f t="shared" si="92"/>
        <v/>
      </c>
      <c r="F250" s="19">
        <f>'Profile data'!A250</f>
        <v>494</v>
      </c>
      <c r="G250" s="19">
        <f>VLOOKUP(F250,'Profile data'!A250:C509,IF($B$22="Botswana 1",2,3))</f>
        <v>904.17700000000002</v>
      </c>
      <c r="H250" s="19">
        <f t="shared" si="108"/>
        <v>2</v>
      </c>
      <c r="I250" s="19">
        <v>1.5</v>
      </c>
      <c r="J250" s="36">
        <f>'Flow Rate Calculations'!$B$7</f>
        <v>4.0831050228310497</v>
      </c>
      <c r="K250" s="36">
        <f t="shared" si="93"/>
        <v>2.3105647912778942</v>
      </c>
      <c r="L250" s="37">
        <f>$I250*$K250/'Calculation Constants'!$B$7</f>
        <v>3067121.4043511869</v>
      </c>
      <c r="M250" s="37">
        <f t="shared" si="94"/>
        <v>242.22799999999995</v>
      </c>
      <c r="N250" s="23">
        <f t="shared" si="95"/>
        <v>116.65107772355714</v>
      </c>
      <c r="O250" s="57">
        <f t="shared" si="83"/>
        <v>242.22799999999995</v>
      </c>
      <c r="P250" s="66">
        <f>MAX(I250*1000/'Calculation Constants'!$B$14,O250*10*I250*1000/2/('Calculation Constants'!$B$12*1000*'Calculation Constants'!$B$13))</f>
        <v>12.111399999999998</v>
      </c>
      <c r="Q250" s="68">
        <f t="shared" si="84"/>
        <v>888820.96323037252</v>
      </c>
      <c r="R250" s="27">
        <f>(1/(2*LOG(3.7*$I250/'Calculation Constants'!$B$2*1000)))^2</f>
        <v>9.0112502883211744E-3</v>
      </c>
      <c r="S250" s="19">
        <f t="shared" si="96"/>
        <v>3.2693475307588078</v>
      </c>
      <c r="T250" s="19">
        <f>IF($H250&gt;0,'Calculation Constants'!$B$9*Hydraulics!$K250^2/2/9.81/MAX($F$4:$F$253)*$H250,"")</f>
        <v>0.16326329219244826</v>
      </c>
      <c r="U250" s="19">
        <f t="shared" si="97"/>
        <v>3.432610822951256</v>
      </c>
      <c r="V250" s="19">
        <f t="shared" si="85"/>
        <v>0</v>
      </c>
      <c r="W250" s="19">
        <f t="shared" si="86"/>
        <v>116.65107772355714</v>
      </c>
      <c r="X250" s="23">
        <f t="shared" si="98"/>
        <v>1020.8280777235572</v>
      </c>
      <c r="Y250" s="22">
        <f>(1/(2*LOG(3.7*$I250/'Calculation Constants'!$B$3*1000)))^2</f>
        <v>1.0136821254400123E-2</v>
      </c>
      <c r="Z250" s="19">
        <f t="shared" si="87"/>
        <v>3.6777129119105498</v>
      </c>
      <c r="AA250" s="19">
        <f>IF($H250&gt;0,'Calculation Constants'!$B$9*Hydraulics!$K250^2/2/9.81/MAX($F$4:$F$253)*$H250,"")</f>
        <v>0.16326329219244826</v>
      </c>
      <c r="AB250" s="19">
        <f t="shared" si="109"/>
        <v>3.840976204102998</v>
      </c>
      <c r="AC250" s="19">
        <f t="shared" si="88"/>
        <v>0</v>
      </c>
      <c r="AD250" s="19">
        <f t="shared" si="99"/>
        <v>102.03885681679117</v>
      </c>
      <c r="AE250" s="23">
        <f t="shared" si="100"/>
        <v>1006.2158568167912</v>
      </c>
      <c r="AF250" s="27">
        <f>(1/(2*LOG(3.7*$I250/'Calculation Constants'!$B$4*1000)))^2</f>
        <v>1.1979797083255311E-2</v>
      </c>
      <c r="AG250" s="19">
        <f t="shared" si="89"/>
        <v>4.3463580257994474</v>
      </c>
      <c r="AH250" s="19">
        <f>IF($H250&gt;0,'Calculation Constants'!$B$9*Hydraulics!$K250^2/2/9.81/MAX($F$4:$F$253)*$H250,"")</f>
        <v>0.16326329219244826</v>
      </c>
      <c r="AI250" s="19">
        <f t="shared" si="101"/>
        <v>4.509621317991896</v>
      </c>
      <c r="AJ250" s="19">
        <f t="shared" si="90"/>
        <v>0</v>
      </c>
      <c r="AK250" s="19">
        <f t="shared" si="102"/>
        <v>78.178771736562567</v>
      </c>
      <c r="AL250" s="23">
        <f t="shared" si="103"/>
        <v>982.35577173656259</v>
      </c>
      <c r="AM250" s="22">
        <f>(1/(2*LOG(3.7*($I250-0.008)/'Calculation Constants'!$B$5*1000)))^2</f>
        <v>1.5294398771411635E-2</v>
      </c>
      <c r="AN250" s="19">
        <f t="shared" si="104"/>
        <v>5.5786726888400349</v>
      </c>
      <c r="AO250" s="19">
        <f>IF($H250&gt;0,'Calculation Constants'!$B$9*Hydraulics!$K250^2/2/9.81/MAX($F$4:$F$253)*$H250,"")</f>
        <v>0.16326329219244826</v>
      </c>
      <c r="AP250" s="19">
        <f t="shared" si="105"/>
        <v>5.7419359810324835</v>
      </c>
      <c r="AQ250" s="19">
        <f t="shared" si="91"/>
        <v>0</v>
      </c>
      <c r="AR250" s="19">
        <f t="shared" si="106"/>
        <v>34.556094826527215</v>
      </c>
      <c r="AS250" s="23">
        <f t="shared" si="107"/>
        <v>938.73309482652724</v>
      </c>
    </row>
    <row r="251" spans="5:45">
      <c r="E251" s="35" t="str">
        <f t="shared" si="92"/>
        <v/>
      </c>
      <c r="F251" s="19">
        <f>'Profile data'!A251</f>
        <v>496</v>
      </c>
      <c r="G251" s="19">
        <f>VLOOKUP(F251,'Profile data'!A251:C510,IF($B$22="Botswana 1",2,3))</f>
        <v>912.25300000000004</v>
      </c>
      <c r="H251" s="19">
        <f t="shared" si="108"/>
        <v>2</v>
      </c>
      <c r="I251" s="19">
        <v>1.5</v>
      </c>
      <c r="J251" s="36">
        <f>'Flow Rate Calculations'!$B$7</f>
        <v>4.0831050228310497</v>
      </c>
      <c r="K251" s="36">
        <f t="shared" si="93"/>
        <v>2.3105647912778942</v>
      </c>
      <c r="L251" s="37">
        <f>$I251*$K251/'Calculation Constants'!$B$7</f>
        <v>3067121.4043511869</v>
      </c>
      <c r="M251" s="37">
        <f t="shared" si="94"/>
        <v>234.15199999999993</v>
      </c>
      <c r="N251" s="23">
        <f t="shared" si="95"/>
        <v>105.14246690060588</v>
      </c>
      <c r="O251" s="57">
        <f t="shared" si="83"/>
        <v>234.15199999999993</v>
      </c>
      <c r="P251" s="66">
        <f>MAX(I251*1000/'Calculation Constants'!$B$14,O251*10*I251*1000/2/('Calculation Constants'!$B$12*1000*'Calculation Constants'!$B$13))</f>
        <v>11.707599999999998</v>
      </c>
      <c r="Q251" s="68">
        <f t="shared" si="84"/>
        <v>859420.41349986545</v>
      </c>
      <c r="R251" s="27">
        <f>(1/(2*LOG(3.7*$I251/'Calculation Constants'!$B$2*1000)))^2</f>
        <v>9.0112502883211744E-3</v>
      </c>
      <c r="S251" s="19">
        <f t="shared" si="96"/>
        <v>3.2693475307588078</v>
      </c>
      <c r="T251" s="19">
        <f>IF($H251&gt;0,'Calculation Constants'!$B$9*Hydraulics!$K251^2/2/9.81/MAX($F$4:$F$253)*$H251,"")</f>
        <v>0.16326329219244826</v>
      </c>
      <c r="U251" s="19">
        <f t="shared" si="97"/>
        <v>3.432610822951256</v>
      </c>
      <c r="V251" s="19">
        <f t="shared" si="85"/>
        <v>0</v>
      </c>
      <c r="W251" s="19">
        <f t="shared" si="86"/>
        <v>105.14246690060588</v>
      </c>
      <c r="X251" s="23">
        <f t="shared" si="98"/>
        <v>1017.3954669006059</v>
      </c>
      <c r="Y251" s="22">
        <f>(1/(2*LOG(3.7*$I251/'Calculation Constants'!$B$3*1000)))^2</f>
        <v>1.0136821254400123E-2</v>
      </c>
      <c r="Z251" s="19">
        <f t="shared" si="87"/>
        <v>3.6777129119105498</v>
      </c>
      <c r="AA251" s="19">
        <f>IF($H251&gt;0,'Calculation Constants'!$B$9*Hydraulics!$K251^2/2/9.81/MAX($F$4:$F$253)*$H251,"")</f>
        <v>0.16326329219244826</v>
      </c>
      <c r="AB251" s="19">
        <f t="shared" si="109"/>
        <v>3.840976204102998</v>
      </c>
      <c r="AC251" s="19">
        <f t="shared" si="88"/>
        <v>0</v>
      </c>
      <c r="AD251" s="19">
        <f t="shared" si="99"/>
        <v>90.121880612688187</v>
      </c>
      <c r="AE251" s="23">
        <f t="shared" si="100"/>
        <v>1002.3748806126882</v>
      </c>
      <c r="AF251" s="27">
        <f>(1/(2*LOG(3.7*$I251/'Calculation Constants'!$B$4*1000)))^2</f>
        <v>1.1979797083255311E-2</v>
      </c>
      <c r="AG251" s="19">
        <f t="shared" si="89"/>
        <v>4.3463580257994474</v>
      </c>
      <c r="AH251" s="19">
        <f>IF($H251&gt;0,'Calculation Constants'!$B$9*Hydraulics!$K251^2/2/9.81/MAX($F$4:$F$253)*$H251,"")</f>
        <v>0.16326329219244826</v>
      </c>
      <c r="AI251" s="19">
        <f t="shared" si="101"/>
        <v>4.509621317991896</v>
      </c>
      <c r="AJ251" s="19">
        <f t="shared" si="90"/>
        <v>0</v>
      </c>
      <c r="AK251" s="19">
        <f t="shared" si="102"/>
        <v>65.593150418570644</v>
      </c>
      <c r="AL251" s="23">
        <f t="shared" si="103"/>
        <v>977.84615041857069</v>
      </c>
      <c r="AM251" s="22">
        <f>(1/(2*LOG(3.7*($I251-0.008)/'Calculation Constants'!$B$5*1000)))^2</f>
        <v>1.5294398771411635E-2</v>
      </c>
      <c r="AN251" s="19">
        <f t="shared" si="104"/>
        <v>5.5786726888400349</v>
      </c>
      <c r="AO251" s="19">
        <f>IF($H251&gt;0,'Calculation Constants'!$B$9*Hydraulics!$K251^2/2/9.81/MAX($F$4:$F$253)*$H251,"")</f>
        <v>0.16326329219244826</v>
      </c>
      <c r="AP251" s="19">
        <f t="shared" si="105"/>
        <v>5.7419359810324835</v>
      </c>
      <c r="AQ251" s="19">
        <f t="shared" si="91"/>
        <v>0</v>
      </c>
      <c r="AR251" s="19">
        <f t="shared" si="106"/>
        <v>20.738158845494695</v>
      </c>
      <c r="AS251" s="23">
        <f t="shared" si="107"/>
        <v>932.99115884549474</v>
      </c>
    </row>
    <row r="252" spans="5:45">
      <c r="E252" s="35" t="str">
        <f t="shared" si="92"/>
        <v/>
      </c>
      <c r="F252" s="19">
        <f>'Profile data'!A252</f>
        <v>498</v>
      </c>
      <c r="G252" s="19">
        <f>VLOOKUP(F252,'Profile data'!A252:C511,IF($B$22="Botswana 1",2,3))</f>
        <v>915.29700000000003</v>
      </c>
      <c r="H252" s="19">
        <f t="shared" si="108"/>
        <v>2</v>
      </c>
      <c r="I252" s="19">
        <v>1.5</v>
      </c>
      <c r="J252" s="36">
        <f>'Flow Rate Calculations'!$B$7</f>
        <v>4.0831050228310497</v>
      </c>
      <c r="K252" s="36">
        <f t="shared" si="93"/>
        <v>2.3105647912778942</v>
      </c>
      <c r="L252" s="37">
        <f>$I252*$K252/'Calculation Constants'!$B$7</f>
        <v>3067121.4043511869</v>
      </c>
      <c r="M252" s="37">
        <f t="shared" si="94"/>
        <v>231.10799999999995</v>
      </c>
      <c r="N252" s="23">
        <f t="shared" si="95"/>
        <v>98.665856077654666</v>
      </c>
      <c r="O252" s="57">
        <f t="shared" si="83"/>
        <v>231.10799999999995</v>
      </c>
      <c r="P252" s="66">
        <f>MAX(I252*1000/'Calculation Constants'!$B$14,O252*10*I252*1000/2/('Calculation Constants'!$B$12*1000*'Calculation Constants'!$B$13))</f>
        <v>11.555399999999997</v>
      </c>
      <c r="Q252" s="68">
        <f t="shared" si="84"/>
        <v>848334.60597661592</v>
      </c>
      <c r="R252" s="27">
        <f>(1/(2*LOG(3.7*$I252/'Calculation Constants'!$B$2*1000)))^2</f>
        <v>9.0112502883211744E-3</v>
      </c>
      <c r="S252" s="19">
        <f t="shared" si="96"/>
        <v>3.2693475307588078</v>
      </c>
      <c r="T252" s="19">
        <f>IF($H252&gt;0,'Calculation Constants'!$B$9*Hydraulics!$K252^2/2/9.81/MAX($F$4:$F$253)*$H252,"")</f>
        <v>0.16326329219244826</v>
      </c>
      <c r="U252" s="19">
        <f t="shared" si="97"/>
        <v>3.432610822951256</v>
      </c>
      <c r="V252" s="19">
        <f t="shared" si="85"/>
        <v>0</v>
      </c>
      <c r="W252" s="19">
        <f t="shared" si="86"/>
        <v>98.665856077654666</v>
      </c>
      <c r="X252" s="23">
        <f t="shared" si="98"/>
        <v>1013.9628560776547</v>
      </c>
      <c r="Y252" s="22">
        <f>(1/(2*LOG(3.7*$I252/'Calculation Constants'!$B$3*1000)))^2</f>
        <v>1.0136821254400123E-2</v>
      </c>
      <c r="Z252" s="19">
        <f t="shared" si="87"/>
        <v>3.6777129119105498</v>
      </c>
      <c r="AA252" s="19">
        <f>IF($H252&gt;0,'Calculation Constants'!$B$9*Hydraulics!$K252^2/2/9.81/MAX($F$4:$F$253)*$H252,"")</f>
        <v>0.16326329219244826</v>
      </c>
      <c r="AB252" s="19">
        <f t="shared" si="109"/>
        <v>3.840976204102998</v>
      </c>
      <c r="AC252" s="19">
        <f t="shared" si="88"/>
        <v>0</v>
      </c>
      <c r="AD252" s="19">
        <f t="shared" si="99"/>
        <v>83.236904408585247</v>
      </c>
      <c r="AE252" s="23">
        <f t="shared" si="100"/>
        <v>998.53390440858527</v>
      </c>
      <c r="AF252" s="27">
        <f>(1/(2*LOG(3.7*$I252/'Calculation Constants'!$B$4*1000)))^2</f>
        <v>1.1979797083255311E-2</v>
      </c>
      <c r="AG252" s="19">
        <f t="shared" si="89"/>
        <v>4.3463580257994474</v>
      </c>
      <c r="AH252" s="19">
        <f>IF($H252&gt;0,'Calculation Constants'!$B$9*Hydraulics!$K252^2/2/9.81/MAX($F$4:$F$253)*$H252,"")</f>
        <v>0.16326329219244826</v>
      </c>
      <c r="AI252" s="19">
        <f t="shared" si="101"/>
        <v>4.509621317991896</v>
      </c>
      <c r="AJ252" s="19">
        <f t="shared" si="90"/>
        <v>0</v>
      </c>
      <c r="AK252" s="19">
        <f t="shared" si="102"/>
        <v>58.039529100578761</v>
      </c>
      <c r="AL252" s="23">
        <f t="shared" si="103"/>
        <v>973.33652910057879</v>
      </c>
      <c r="AM252" s="22">
        <f>(1/(2*LOG(3.7*($I252-0.008)/'Calculation Constants'!$B$5*1000)))^2</f>
        <v>1.5294398771411635E-2</v>
      </c>
      <c r="AN252" s="19">
        <f t="shared" si="104"/>
        <v>5.5786726888400349</v>
      </c>
      <c r="AO252" s="19">
        <f>IF($H252&gt;0,'Calculation Constants'!$B$9*Hydraulics!$K252^2/2/9.81/MAX($F$4:$F$253)*$H252,"")</f>
        <v>0.16326329219244826</v>
      </c>
      <c r="AP252" s="19">
        <f t="shared" si="105"/>
        <v>5.7419359810324835</v>
      </c>
      <c r="AQ252" s="19">
        <f t="shared" si="91"/>
        <v>0</v>
      </c>
      <c r="AR252" s="19">
        <f t="shared" si="106"/>
        <v>11.952222864462215</v>
      </c>
      <c r="AS252" s="23">
        <f t="shared" si="107"/>
        <v>927.24922286446224</v>
      </c>
    </row>
    <row r="253" spans="5:45" ht="15.75" thickBot="1">
      <c r="E253" s="38" t="str">
        <f t="shared" si="92"/>
        <v>Reservoir</v>
      </c>
      <c r="F253" s="25">
        <f>'Profile data'!A253</f>
        <v>500</v>
      </c>
      <c r="G253" s="25">
        <f>VLOOKUP(F253,'Profile data'!A253:C512,IF($B$22="Botswana 1",2,3))</f>
        <v>919.62900000000002</v>
      </c>
      <c r="H253" s="25">
        <f t="shared" si="108"/>
        <v>2</v>
      </c>
      <c r="I253" s="25">
        <v>1.5</v>
      </c>
      <c r="J253" s="39">
        <f>'Flow Rate Calculations'!$B$7</f>
        <v>4.0831050228310497</v>
      </c>
      <c r="K253" s="39">
        <f t="shared" si="93"/>
        <v>2.3105647912778942</v>
      </c>
      <c r="L253" s="40">
        <f>$I253*$K253/'Calculation Constants'!$B$7</f>
        <v>3067121.4043511869</v>
      </c>
      <c r="M253" s="40">
        <f t="shared" si="94"/>
        <v>10</v>
      </c>
      <c r="N253" s="26">
        <f t="shared" si="95"/>
        <v>226.77599999999995</v>
      </c>
      <c r="O253" s="58">
        <f t="shared" si="83"/>
        <v>10</v>
      </c>
      <c r="P253" s="67">
        <f>MAX(I253*1000/'Calculation Constants'!$B$14,O253*10*I253*1000/2/('Calculation Constants'!$B$12*1000*'Calculation Constants'!$B$13))</f>
        <v>9.375</v>
      </c>
      <c r="Q253" s="69">
        <f t="shared" si="84"/>
        <v>689269.72334380972</v>
      </c>
      <c r="R253" s="30">
        <f>(1/(2*LOG(3.7*$I253/'Calculation Constants'!$B$2*1000)))^2</f>
        <v>9.0112502883211744E-3</v>
      </c>
      <c r="S253" s="25">
        <f t="shared" si="96"/>
        <v>3.2693475307588078</v>
      </c>
      <c r="T253" s="25">
        <f>IF($H253&gt;0,'Calculation Constants'!$B$9*Hydraulics!$K253^2/2/9.81/MAX($F$4:$F$253)*$H253,"")</f>
        <v>0.16326329219244826</v>
      </c>
      <c r="U253" s="25">
        <f t="shared" si="97"/>
        <v>3.432610822951256</v>
      </c>
      <c r="V253" s="25">
        <f t="shared" si="85"/>
        <v>0</v>
      </c>
      <c r="W253" s="25">
        <f t="shared" si="86"/>
        <v>226.77599999999995</v>
      </c>
      <c r="X253" s="26">
        <f t="shared" si="98"/>
        <v>929.62900000000002</v>
      </c>
      <c r="Y253" s="24">
        <f>(1/(2*LOG(3.7*$I253/'Calculation Constants'!$B$3*1000)))^2</f>
        <v>1.0136821254400123E-2</v>
      </c>
      <c r="Z253" s="25">
        <f t="shared" si="87"/>
        <v>3.6777129119105498</v>
      </c>
      <c r="AA253" s="25">
        <f>IF($H253&gt;0,'Calculation Constants'!$B$9*Hydraulics!$K253^2/2/9.81/MAX($F$4:$F$253)*$H253,"")</f>
        <v>0.16326329219244826</v>
      </c>
      <c r="AB253" s="25">
        <f t="shared" si="109"/>
        <v>3.840976204102998</v>
      </c>
      <c r="AC253" s="25">
        <f t="shared" si="88"/>
        <v>0</v>
      </c>
      <c r="AD253" s="25">
        <f t="shared" si="99"/>
        <v>10</v>
      </c>
      <c r="AE253" s="26">
        <f t="shared" si="100"/>
        <v>929.62900000000002</v>
      </c>
      <c r="AF253" s="30">
        <f>(1/(2*LOG(3.7*$I253/'Calculation Constants'!$B$4*1000)))^2</f>
        <v>1.1979797083255311E-2</v>
      </c>
      <c r="AG253" s="25">
        <f t="shared" si="89"/>
        <v>4.3463580257994474</v>
      </c>
      <c r="AH253" s="25">
        <f>IF($H253&gt;0,'Calculation Constants'!$B$9*Hydraulics!$K253^2/2/9.81/MAX($F$4:$F$253)*$H253,"")</f>
        <v>0.16326329219244826</v>
      </c>
      <c r="AI253" s="25">
        <f t="shared" si="101"/>
        <v>4.509621317991896</v>
      </c>
      <c r="AJ253" s="25">
        <f t="shared" si="90"/>
        <v>0</v>
      </c>
      <c r="AK253" s="25">
        <f t="shared" si="102"/>
        <v>10</v>
      </c>
      <c r="AL253" s="26">
        <f t="shared" si="103"/>
        <v>929.62900000000002</v>
      </c>
      <c r="AM253" s="24">
        <f>(1/(2*LOG(3.7*($I253-0.008)/'Calculation Constants'!$B$5*1000)))^2</f>
        <v>1.5294398771411635E-2</v>
      </c>
      <c r="AN253" s="25">
        <f t="shared" si="104"/>
        <v>5.5786726888400349</v>
      </c>
      <c r="AO253" s="25">
        <f>IF($H253&gt;0,'Calculation Constants'!$B$9*Hydraulics!$K253^2/2/9.81/MAX($F$4:$F$253)*$H253,"")</f>
        <v>0.16326329219244826</v>
      </c>
      <c r="AP253" s="25">
        <f t="shared" si="105"/>
        <v>5.7419359810324835</v>
      </c>
      <c r="AQ253" s="25">
        <f t="shared" si="91"/>
        <v>0</v>
      </c>
      <c r="AR253" s="25">
        <f t="shared" si="106"/>
        <v>10</v>
      </c>
      <c r="AS253" s="26">
        <f t="shared" si="107"/>
        <v>929.62900000000002</v>
      </c>
    </row>
    <row r="254" spans="5:45" ht="15.75" thickBot="1">
      <c r="E254" s="71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 t="s">
        <v>76</v>
      </c>
      <c r="Q254" s="78">
        <f>SUM(Q4:Q253)</f>
        <v>272135556.49926615</v>
      </c>
    </row>
    <row r="255" spans="5:45">
      <c r="Q255" s="70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6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3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2010-08-04T09:49:06Z</cp:lastPrinted>
  <dcterms:created xsi:type="dcterms:W3CDTF">2010-04-20T13:30:20Z</dcterms:created>
  <dcterms:modified xsi:type="dcterms:W3CDTF">2010-08-17T10:15:48Z</dcterms:modified>
</cp:coreProperties>
</file>