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480" windowHeight="4335"/>
  </bookViews>
  <sheets>
    <sheet name="Summary" sheetId="8" r:id="rId1"/>
    <sheet name="Profile data" sheetId="2" r:id="rId2"/>
    <sheet name="Flow Rate Calculations" sheetId="3" r:id="rId3"/>
    <sheet name="Calculation Constants" sheetId="5" r:id="rId4"/>
    <sheet name="Hydraulics" sheetId="4" r:id="rId5"/>
    <sheet name="Profile" sheetId="7" r:id="rId6"/>
  </sheets>
  <definedNames>
    <definedName name="Chaiange">Hydraulics!$F$4:$F$253</definedName>
    <definedName name="_xlnm.Print_Area" localSheetId="4">Hydraulics!$R$1:$AS$254</definedName>
    <definedName name="_xlnm.Print_Titles" localSheetId="4">Hydraulics!$1:$3</definedName>
    <definedName name="Routes">'Profile data'!$E$3:$E$4</definedName>
  </definedNames>
  <calcPr calcId="125725"/>
</workbook>
</file>

<file path=xl/calcChain.xml><?xml version="1.0" encoding="utf-8"?>
<calcChain xmlns="http://schemas.openxmlformats.org/spreadsheetml/2006/main">
  <c r="R1" i="4"/>
  <c r="E1"/>
  <c r="AN4" l="1"/>
  <c r="AM5"/>
  <c r="AM6"/>
  <c r="AM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111"/>
  <c r="AM112"/>
  <c r="AM113"/>
  <c r="AM114"/>
  <c r="AM115"/>
  <c r="AM116"/>
  <c r="AM117"/>
  <c r="AM118"/>
  <c r="AM119"/>
  <c r="AM120"/>
  <c r="AM121"/>
  <c r="AM122"/>
  <c r="AM123"/>
  <c r="AM124"/>
  <c r="AM125"/>
  <c r="AM126"/>
  <c r="AM127"/>
  <c r="AM128"/>
  <c r="AM129"/>
  <c r="AM130"/>
  <c r="AM131"/>
  <c r="AM132"/>
  <c r="AM133"/>
  <c r="AM134"/>
  <c r="AM135"/>
  <c r="AM136"/>
  <c r="AM137"/>
  <c r="AM138"/>
  <c r="AM139"/>
  <c r="AM140"/>
  <c r="AM141"/>
  <c r="AM142"/>
  <c r="AM143"/>
  <c r="AM144"/>
  <c r="AM145"/>
  <c r="AM146"/>
  <c r="AM147"/>
  <c r="AM148"/>
  <c r="AM149"/>
  <c r="AM150"/>
  <c r="AM151"/>
  <c r="AM152"/>
  <c r="AM153"/>
  <c r="AM154"/>
  <c r="AM155"/>
  <c r="AM156"/>
  <c r="AM157"/>
  <c r="AM158"/>
  <c r="AM159"/>
  <c r="AM160"/>
  <c r="AM161"/>
  <c r="AM162"/>
  <c r="AM163"/>
  <c r="AM164"/>
  <c r="AM165"/>
  <c r="AM166"/>
  <c r="AM167"/>
  <c r="AM168"/>
  <c r="AM169"/>
  <c r="AM170"/>
  <c r="AM171"/>
  <c r="AM172"/>
  <c r="AM173"/>
  <c r="AM174"/>
  <c r="AM175"/>
  <c r="AM176"/>
  <c r="AM177"/>
  <c r="AM178"/>
  <c r="AM179"/>
  <c r="AM180"/>
  <c r="AM181"/>
  <c r="AM182"/>
  <c r="AM183"/>
  <c r="AM184"/>
  <c r="AM185"/>
  <c r="AM186"/>
  <c r="AM187"/>
  <c r="AM188"/>
  <c r="AM189"/>
  <c r="AM190"/>
  <c r="AM191"/>
  <c r="AM192"/>
  <c r="AM193"/>
  <c r="AM194"/>
  <c r="AM195"/>
  <c r="AM196"/>
  <c r="AM197"/>
  <c r="AM198"/>
  <c r="AM199"/>
  <c r="AM200"/>
  <c r="AM201"/>
  <c r="AM202"/>
  <c r="AM203"/>
  <c r="AM204"/>
  <c r="AM205"/>
  <c r="AM206"/>
  <c r="AM207"/>
  <c r="AM208"/>
  <c r="AM209"/>
  <c r="AM210"/>
  <c r="AM211"/>
  <c r="AM212"/>
  <c r="AM213"/>
  <c r="AM214"/>
  <c r="AM215"/>
  <c r="AM216"/>
  <c r="AM217"/>
  <c r="AM218"/>
  <c r="AM219"/>
  <c r="AM220"/>
  <c r="AM221"/>
  <c r="AM222"/>
  <c r="AM223"/>
  <c r="AM224"/>
  <c r="AM225"/>
  <c r="AM226"/>
  <c r="AM227"/>
  <c r="AM228"/>
  <c r="AM229"/>
  <c r="AM230"/>
  <c r="AM231"/>
  <c r="AM232"/>
  <c r="AM233"/>
  <c r="AM234"/>
  <c r="AM235"/>
  <c r="AM236"/>
  <c r="AM237"/>
  <c r="AM238"/>
  <c r="AM239"/>
  <c r="AM240"/>
  <c r="AM241"/>
  <c r="AM242"/>
  <c r="AM243"/>
  <c r="AM244"/>
  <c r="AM245"/>
  <c r="AM246"/>
  <c r="AM247"/>
  <c r="AM248"/>
  <c r="AM249"/>
  <c r="AM250"/>
  <c r="AM251"/>
  <c r="AM252"/>
  <c r="AM253"/>
  <c r="AM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F89"/>
  <c r="AF90"/>
  <c r="AF91"/>
  <c r="AF92"/>
  <c r="AF93"/>
  <c r="AF94"/>
  <c r="AF95"/>
  <c r="AF96"/>
  <c r="AF97"/>
  <c r="AF98"/>
  <c r="AF99"/>
  <c r="AF100"/>
  <c r="AF101"/>
  <c r="AF102"/>
  <c r="AF103"/>
  <c r="AF104"/>
  <c r="AF105"/>
  <c r="AF106"/>
  <c r="AF107"/>
  <c r="AF108"/>
  <c r="AF109"/>
  <c r="AF110"/>
  <c r="AF111"/>
  <c r="AF112"/>
  <c r="AF113"/>
  <c r="AF114"/>
  <c r="AF115"/>
  <c r="AF116"/>
  <c r="AF117"/>
  <c r="AF118"/>
  <c r="AF119"/>
  <c r="AF120"/>
  <c r="AF121"/>
  <c r="AF122"/>
  <c r="AF123"/>
  <c r="AF124"/>
  <c r="AF125"/>
  <c r="AF126"/>
  <c r="AF127"/>
  <c r="AF128"/>
  <c r="AF129"/>
  <c r="AF130"/>
  <c r="AF131"/>
  <c r="AF132"/>
  <c r="AF133"/>
  <c r="AF134"/>
  <c r="AF135"/>
  <c r="AF136"/>
  <c r="AF137"/>
  <c r="AF138"/>
  <c r="AF139"/>
  <c r="AF140"/>
  <c r="AF141"/>
  <c r="AF142"/>
  <c r="AF143"/>
  <c r="AF144"/>
  <c r="AF145"/>
  <c r="AF146"/>
  <c r="AF147"/>
  <c r="AF148"/>
  <c r="AF149"/>
  <c r="AF150"/>
  <c r="AF151"/>
  <c r="AF152"/>
  <c r="AF153"/>
  <c r="AF154"/>
  <c r="AF155"/>
  <c r="AF156"/>
  <c r="AF157"/>
  <c r="AF158"/>
  <c r="AF159"/>
  <c r="AF160"/>
  <c r="AF161"/>
  <c r="AF162"/>
  <c r="AF163"/>
  <c r="AF164"/>
  <c r="AF165"/>
  <c r="AF166"/>
  <c r="AF167"/>
  <c r="AF168"/>
  <c r="AF169"/>
  <c r="AF170"/>
  <c r="AF171"/>
  <c r="AF172"/>
  <c r="AF173"/>
  <c r="AF174"/>
  <c r="AF175"/>
  <c r="AF176"/>
  <c r="AF177"/>
  <c r="AF178"/>
  <c r="AF179"/>
  <c r="AF180"/>
  <c r="AF181"/>
  <c r="AF182"/>
  <c r="AF183"/>
  <c r="AF184"/>
  <c r="AF185"/>
  <c r="AF186"/>
  <c r="AF187"/>
  <c r="AF188"/>
  <c r="AF189"/>
  <c r="AF190"/>
  <c r="AF191"/>
  <c r="AF192"/>
  <c r="AF193"/>
  <c r="AF194"/>
  <c r="AF195"/>
  <c r="AF196"/>
  <c r="AF197"/>
  <c r="AF198"/>
  <c r="AF199"/>
  <c r="AF200"/>
  <c r="AF201"/>
  <c r="AF202"/>
  <c r="AF203"/>
  <c r="AF204"/>
  <c r="AF205"/>
  <c r="AF206"/>
  <c r="AF207"/>
  <c r="AF208"/>
  <c r="AF209"/>
  <c r="AF210"/>
  <c r="AF211"/>
  <c r="AF212"/>
  <c r="AF213"/>
  <c r="AF214"/>
  <c r="AF215"/>
  <c r="AF216"/>
  <c r="AF217"/>
  <c r="AF218"/>
  <c r="AF219"/>
  <c r="AF220"/>
  <c r="AF221"/>
  <c r="AF222"/>
  <c r="AF223"/>
  <c r="AF224"/>
  <c r="AF225"/>
  <c r="AF226"/>
  <c r="AF227"/>
  <c r="AF228"/>
  <c r="AF229"/>
  <c r="AF230"/>
  <c r="AF231"/>
  <c r="AF232"/>
  <c r="AF233"/>
  <c r="AF234"/>
  <c r="AF235"/>
  <c r="AF236"/>
  <c r="AF237"/>
  <c r="AF238"/>
  <c r="AF239"/>
  <c r="AF240"/>
  <c r="AF241"/>
  <c r="AF242"/>
  <c r="AF243"/>
  <c r="AF244"/>
  <c r="AF245"/>
  <c r="AF246"/>
  <c r="AF247"/>
  <c r="AF248"/>
  <c r="AF249"/>
  <c r="AF250"/>
  <c r="AF251"/>
  <c r="AF252"/>
  <c r="AF253"/>
  <c r="AF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Y116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4"/>
  <c r="R205"/>
  <c r="R206"/>
  <c r="R207"/>
  <c r="R208"/>
  <c r="R209"/>
  <c r="R210"/>
  <c r="R211"/>
  <c r="R212"/>
  <c r="R213"/>
  <c r="R214"/>
  <c r="R215"/>
  <c r="R216"/>
  <c r="R217"/>
  <c r="R218"/>
  <c r="R219"/>
  <c r="R220"/>
  <c r="R221"/>
  <c r="R222"/>
  <c r="R223"/>
  <c r="R224"/>
  <c r="R225"/>
  <c r="R226"/>
  <c r="R227"/>
  <c r="R228"/>
  <c r="R229"/>
  <c r="R230"/>
  <c r="R231"/>
  <c r="R232"/>
  <c r="R233"/>
  <c r="R234"/>
  <c r="R235"/>
  <c r="R236"/>
  <c r="R237"/>
  <c r="R238"/>
  <c r="R239"/>
  <c r="R240"/>
  <c r="R241"/>
  <c r="R242"/>
  <c r="R243"/>
  <c r="R244"/>
  <c r="R245"/>
  <c r="R246"/>
  <c r="R247"/>
  <c r="R248"/>
  <c r="R249"/>
  <c r="R250"/>
  <c r="R251"/>
  <c r="R252"/>
  <c r="R253"/>
  <c r="R4"/>
  <c r="F5" l="1"/>
  <c r="E5" s="1"/>
  <c r="F6"/>
  <c r="E6" s="1"/>
  <c r="F7"/>
  <c r="E7" s="1"/>
  <c r="F8"/>
  <c r="E8" s="1"/>
  <c r="F9"/>
  <c r="E9" s="1"/>
  <c r="F10"/>
  <c r="E10" s="1"/>
  <c r="F11"/>
  <c r="E11" s="1"/>
  <c r="F12"/>
  <c r="E12" s="1"/>
  <c r="AO4"/>
  <c r="AP4"/>
  <c r="AH4"/>
  <c r="AG4"/>
  <c r="AI4" s="1"/>
  <c r="AA4"/>
  <c r="T4"/>
  <c r="Z4"/>
  <c r="AB4" s="1"/>
  <c r="S4"/>
  <c r="U4" s="1"/>
  <c r="C6"/>
  <c r="C15"/>
  <c r="F13" l="1"/>
  <c r="E13" s="1"/>
  <c r="F14"/>
  <c r="E14" s="1"/>
  <c r="F15"/>
  <c r="E15" s="1"/>
  <c r="F16"/>
  <c r="E16" s="1"/>
  <c r="F17"/>
  <c r="E17" s="1"/>
  <c r="F18"/>
  <c r="E18" s="1"/>
  <c r="F19"/>
  <c r="E19" s="1"/>
  <c r="F20"/>
  <c r="E20" s="1"/>
  <c r="F21"/>
  <c r="E21" s="1"/>
  <c r="F22"/>
  <c r="E22" s="1"/>
  <c r="F23"/>
  <c r="E23" s="1"/>
  <c r="F24"/>
  <c r="E24" s="1"/>
  <c r="F25"/>
  <c r="E25" s="1"/>
  <c r="F26"/>
  <c r="E26" s="1"/>
  <c r="F27"/>
  <c r="E27" s="1"/>
  <c r="F28"/>
  <c r="E28" s="1"/>
  <c r="F29"/>
  <c r="E29" s="1"/>
  <c r="F30"/>
  <c r="E30" s="1"/>
  <c r="F31"/>
  <c r="E31" s="1"/>
  <c r="F32"/>
  <c r="E32" s="1"/>
  <c r="F33"/>
  <c r="E33" s="1"/>
  <c r="F34"/>
  <c r="E34" s="1"/>
  <c r="F35"/>
  <c r="E35" s="1"/>
  <c r="F36"/>
  <c r="E36" s="1"/>
  <c r="F37"/>
  <c r="E37" s="1"/>
  <c r="F38"/>
  <c r="E38" s="1"/>
  <c r="F39"/>
  <c r="E39" s="1"/>
  <c r="F40"/>
  <c r="E40" s="1"/>
  <c r="F41"/>
  <c r="E41" s="1"/>
  <c r="F42"/>
  <c r="E42" s="1"/>
  <c r="F43"/>
  <c r="E43" s="1"/>
  <c r="F44"/>
  <c r="E44" s="1"/>
  <c r="F45"/>
  <c r="E45" s="1"/>
  <c r="F46"/>
  <c r="E46" s="1"/>
  <c r="F47"/>
  <c r="E47" s="1"/>
  <c r="F48"/>
  <c r="E48" s="1"/>
  <c r="F49"/>
  <c r="E49" s="1"/>
  <c r="F50"/>
  <c r="E50" s="1"/>
  <c r="F51"/>
  <c r="E51" s="1"/>
  <c r="F52"/>
  <c r="E52" s="1"/>
  <c r="F53"/>
  <c r="E53" s="1"/>
  <c r="F54"/>
  <c r="E54" s="1"/>
  <c r="F55"/>
  <c r="E55" s="1"/>
  <c r="F56"/>
  <c r="E56" s="1"/>
  <c r="F57"/>
  <c r="E57" s="1"/>
  <c r="F58"/>
  <c r="E58" s="1"/>
  <c r="F59"/>
  <c r="E59" s="1"/>
  <c r="F60"/>
  <c r="E60" s="1"/>
  <c r="F61"/>
  <c r="E61" s="1"/>
  <c r="F62"/>
  <c r="E62" s="1"/>
  <c r="F63"/>
  <c r="E63" s="1"/>
  <c r="F64"/>
  <c r="E64" s="1"/>
  <c r="F65"/>
  <c r="E65" s="1"/>
  <c r="F66"/>
  <c r="E66" s="1"/>
  <c r="F67"/>
  <c r="E67" s="1"/>
  <c r="F68"/>
  <c r="E68" s="1"/>
  <c r="F69"/>
  <c r="E69" s="1"/>
  <c r="F70"/>
  <c r="E70" s="1"/>
  <c r="F71"/>
  <c r="E71" s="1"/>
  <c r="F72"/>
  <c r="E72" s="1"/>
  <c r="F73"/>
  <c r="E73" s="1"/>
  <c r="F74"/>
  <c r="E74" s="1"/>
  <c r="F75"/>
  <c r="E75" s="1"/>
  <c r="F76"/>
  <c r="E76" s="1"/>
  <c r="F77"/>
  <c r="E77" s="1"/>
  <c r="F78"/>
  <c r="E78" s="1"/>
  <c r="F79"/>
  <c r="E79" s="1"/>
  <c r="F80"/>
  <c r="E80" s="1"/>
  <c r="F81"/>
  <c r="E81" s="1"/>
  <c r="F82"/>
  <c r="E82" s="1"/>
  <c r="F83"/>
  <c r="E83" s="1"/>
  <c r="F84"/>
  <c r="E84" s="1"/>
  <c r="F85"/>
  <c r="E85" s="1"/>
  <c r="F86"/>
  <c r="E86" s="1"/>
  <c r="F87"/>
  <c r="E87" s="1"/>
  <c r="F88"/>
  <c r="E88" s="1"/>
  <c r="F89"/>
  <c r="E89" s="1"/>
  <c r="F90"/>
  <c r="E90" s="1"/>
  <c r="F91"/>
  <c r="E91" s="1"/>
  <c r="F92"/>
  <c r="E92" s="1"/>
  <c r="F93"/>
  <c r="E93" s="1"/>
  <c r="F94"/>
  <c r="E94" s="1"/>
  <c r="F95"/>
  <c r="E95" s="1"/>
  <c r="F96"/>
  <c r="E96" s="1"/>
  <c r="F97"/>
  <c r="E97" s="1"/>
  <c r="F98"/>
  <c r="E98" s="1"/>
  <c r="F99"/>
  <c r="E99" s="1"/>
  <c r="F100"/>
  <c r="E100" s="1"/>
  <c r="F101"/>
  <c r="E101" s="1"/>
  <c r="F102"/>
  <c r="E102" s="1"/>
  <c r="F103"/>
  <c r="E103" s="1"/>
  <c r="F104"/>
  <c r="E104" s="1"/>
  <c r="F105"/>
  <c r="E105" s="1"/>
  <c r="F106"/>
  <c r="E106" s="1"/>
  <c r="F107"/>
  <c r="E107" s="1"/>
  <c r="F108"/>
  <c r="E108" s="1"/>
  <c r="F109"/>
  <c r="E109" s="1"/>
  <c r="F110"/>
  <c r="E110" s="1"/>
  <c r="F111"/>
  <c r="E111" s="1"/>
  <c r="F112"/>
  <c r="E112" s="1"/>
  <c r="F113"/>
  <c r="E113" s="1"/>
  <c r="F114"/>
  <c r="E114" s="1"/>
  <c r="F115"/>
  <c r="E115" s="1"/>
  <c r="F116"/>
  <c r="E116" s="1"/>
  <c r="F117"/>
  <c r="E117" s="1"/>
  <c r="F118"/>
  <c r="E118" s="1"/>
  <c r="F119"/>
  <c r="E119" s="1"/>
  <c r="F120"/>
  <c r="E120" s="1"/>
  <c r="F121"/>
  <c r="E121" s="1"/>
  <c r="F122"/>
  <c r="E122" s="1"/>
  <c r="F123"/>
  <c r="E123" s="1"/>
  <c r="F124"/>
  <c r="E124" s="1"/>
  <c r="F125"/>
  <c r="E125" s="1"/>
  <c r="F126"/>
  <c r="E126" s="1"/>
  <c r="F127"/>
  <c r="E127" s="1"/>
  <c r="F128"/>
  <c r="F129"/>
  <c r="E129" s="1"/>
  <c r="F130"/>
  <c r="E130" s="1"/>
  <c r="F131"/>
  <c r="E131" s="1"/>
  <c r="F132"/>
  <c r="E132" s="1"/>
  <c r="F133"/>
  <c r="E133" s="1"/>
  <c r="F134"/>
  <c r="E134" s="1"/>
  <c r="F135"/>
  <c r="E135" s="1"/>
  <c r="F136"/>
  <c r="E136" s="1"/>
  <c r="F137"/>
  <c r="E137" s="1"/>
  <c r="F138"/>
  <c r="E138" s="1"/>
  <c r="F139"/>
  <c r="E139" s="1"/>
  <c r="F140"/>
  <c r="E140" s="1"/>
  <c r="F141"/>
  <c r="E141" s="1"/>
  <c r="F142"/>
  <c r="E142" s="1"/>
  <c r="F143"/>
  <c r="E143" s="1"/>
  <c r="F144"/>
  <c r="E144" s="1"/>
  <c r="F145"/>
  <c r="E145" s="1"/>
  <c r="F146"/>
  <c r="E146" s="1"/>
  <c r="F147"/>
  <c r="E147" s="1"/>
  <c r="F148"/>
  <c r="E148" s="1"/>
  <c r="F149"/>
  <c r="E149" s="1"/>
  <c r="F150"/>
  <c r="E150" s="1"/>
  <c r="F151"/>
  <c r="E151" s="1"/>
  <c r="F152"/>
  <c r="E152" s="1"/>
  <c r="F153"/>
  <c r="E153" s="1"/>
  <c r="F154"/>
  <c r="E154" s="1"/>
  <c r="F155"/>
  <c r="E155" s="1"/>
  <c r="F156"/>
  <c r="E156" s="1"/>
  <c r="F157"/>
  <c r="E157" s="1"/>
  <c r="F158"/>
  <c r="E158" s="1"/>
  <c r="F159"/>
  <c r="E159" s="1"/>
  <c r="F160"/>
  <c r="E160" s="1"/>
  <c r="F161"/>
  <c r="E161" s="1"/>
  <c r="F162"/>
  <c r="E162" s="1"/>
  <c r="F163"/>
  <c r="E163" s="1"/>
  <c r="F164"/>
  <c r="E164" s="1"/>
  <c r="F165"/>
  <c r="E165" s="1"/>
  <c r="F166"/>
  <c r="E166" s="1"/>
  <c r="F167"/>
  <c r="E167" s="1"/>
  <c r="F168"/>
  <c r="E168" s="1"/>
  <c r="F169"/>
  <c r="E169" s="1"/>
  <c r="F170"/>
  <c r="E170" s="1"/>
  <c r="F171"/>
  <c r="E171" s="1"/>
  <c r="F172"/>
  <c r="E172" s="1"/>
  <c r="F173"/>
  <c r="E173" s="1"/>
  <c r="F174"/>
  <c r="E174" s="1"/>
  <c r="F175"/>
  <c r="E175" s="1"/>
  <c r="F176"/>
  <c r="E176" s="1"/>
  <c r="F177"/>
  <c r="E177" s="1"/>
  <c r="F178"/>
  <c r="E178" s="1"/>
  <c r="F179"/>
  <c r="E179" s="1"/>
  <c r="F180"/>
  <c r="E180" s="1"/>
  <c r="F181"/>
  <c r="E181" s="1"/>
  <c r="F182"/>
  <c r="E182" s="1"/>
  <c r="F183"/>
  <c r="E183" s="1"/>
  <c r="F184"/>
  <c r="E184" s="1"/>
  <c r="F185"/>
  <c r="E185" s="1"/>
  <c r="F186"/>
  <c r="E186" s="1"/>
  <c r="F187"/>
  <c r="E187" s="1"/>
  <c r="F188"/>
  <c r="E188" s="1"/>
  <c r="F189"/>
  <c r="E189" s="1"/>
  <c r="F190"/>
  <c r="E190" s="1"/>
  <c r="F191"/>
  <c r="E191" s="1"/>
  <c r="F192"/>
  <c r="E192" s="1"/>
  <c r="F193"/>
  <c r="E193" s="1"/>
  <c r="F194"/>
  <c r="E194" s="1"/>
  <c r="F195"/>
  <c r="E195" s="1"/>
  <c r="F196"/>
  <c r="E196" s="1"/>
  <c r="F197"/>
  <c r="E197" s="1"/>
  <c r="F198"/>
  <c r="E198" s="1"/>
  <c r="F199"/>
  <c r="E199" s="1"/>
  <c r="F200"/>
  <c r="E200" s="1"/>
  <c r="F201"/>
  <c r="E201" s="1"/>
  <c r="F202"/>
  <c r="E202" s="1"/>
  <c r="F203"/>
  <c r="E203" s="1"/>
  <c r="F204"/>
  <c r="E204" s="1"/>
  <c r="F205"/>
  <c r="E205" s="1"/>
  <c r="F206"/>
  <c r="E206" s="1"/>
  <c r="F207"/>
  <c r="E207" s="1"/>
  <c r="F208"/>
  <c r="E208" s="1"/>
  <c r="F209"/>
  <c r="E209" s="1"/>
  <c r="F210"/>
  <c r="E210" s="1"/>
  <c r="F211"/>
  <c r="E211" s="1"/>
  <c r="F212"/>
  <c r="E212" s="1"/>
  <c r="F213"/>
  <c r="E213" s="1"/>
  <c r="F214"/>
  <c r="E214" s="1"/>
  <c r="F215"/>
  <c r="E215" s="1"/>
  <c r="F216"/>
  <c r="E216" s="1"/>
  <c r="F217"/>
  <c r="E217" s="1"/>
  <c r="F218"/>
  <c r="E218" s="1"/>
  <c r="F219"/>
  <c r="E219" s="1"/>
  <c r="F220"/>
  <c r="E220" s="1"/>
  <c r="F221"/>
  <c r="E221" s="1"/>
  <c r="F222"/>
  <c r="E222" s="1"/>
  <c r="F223"/>
  <c r="E223" s="1"/>
  <c r="F224"/>
  <c r="E224" s="1"/>
  <c r="F225"/>
  <c r="E225" s="1"/>
  <c r="F226"/>
  <c r="E226" s="1"/>
  <c r="F227"/>
  <c r="E227" s="1"/>
  <c r="F228"/>
  <c r="E228" s="1"/>
  <c r="F229"/>
  <c r="E229" s="1"/>
  <c r="F230"/>
  <c r="E230" s="1"/>
  <c r="F231"/>
  <c r="E231" s="1"/>
  <c r="F232"/>
  <c r="E232" s="1"/>
  <c r="F233"/>
  <c r="E233" s="1"/>
  <c r="F234"/>
  <c r="E234" s="1"/>
  <c r="F235"/>
  <c r="E235" s="1"/>
  <c r="F236"/>
  <c r="E236" s="1"/>
  <c r="F237"/>
  <c r="E237" s="1"/>
  <c r="F238"/>
  <c r="E238" s="1"/>
  <c r="F239"/>
  <c r="E239" s="1"/>
  <c r="F240"/>
  <c r="E240" s="1"/>
  <c r="F241"/>
  <c r="E241" s="1"/>
  <c r="F242"/>
  <c r="E242" s="1"/>
  <c r="F243"/>
  <c r="E243" s="1"/>
  <c r="F244"/>
  <c r="E244" s="1"/>
  <c r="F245"/>
  <c r="E245" s="1"/>
  <c r="F246"/>
  <c r="E246" s="1"/>
  <c r="F247"/>
  <c r="E247" s="1"/>
  <c r="F248"/>
  <c r="E248" s="1"/>
  <c r="F249"/>
  <c r="E249" s="1"/>
  <c r="F250"/>
  <c r="E250" s="1"/>
  <c r="F251"/>
  <c r="E251" s="1"/>
  <c r="F252"/>
  <c r="E252" s="1"/>
  <c r="F253"/>
  <c r="E253" s="1"/>
  <c r="F4"/>
  <c r="E4" s="1"/>
  <c r="B7" i="3"/>
  <c r="J6" i="4" l="1"/>
  <c r="K6" s="1"/>
  <c r="L6" s="1"/>
  <c r="J8"/>
  <c r="K8" s="1"/>
  <c r="L8" s="1"/>
  <c r="J10"/>
  <c r="K10" s="1"/>
  <c r="L10" s="1"/>
  <c r="J12"/>
  <c r="K12" s="1"/>
  <c r="L12" s="1"/>
  <c r="J14"/>
  <c r="K14" s="1"/>
  <c r="L14" s="1"/>
  <c r="J16"/>
  <c r="K16" s="1"/>
  <c r="L16" s="1"/>
  <c r="J18"/>
  <c r="K18" s="1"/>
  <c r="L18" s="1"/>
  <c r="J20"/>
  <c r="K20" s="1"/>
  <c r="L20" s="1"/>
  <c r="J22"/>
  <c r="K22" s="1"/>
  <c r="L22" s="1"/>
  <c r="J24"/>
  <c r="K24" s="1"/>
  <c r="L24" s="1"/>
  <c r="J26"/>
  <c r="K26" s="1"/>
  <c r="L26" s="1"/>
  <c r="J28"/>
  <c r="K28" s="1"/>
  <c r="L28" s="1"/>
  <c r="J30"/>
  <c r="K30" s="1"/>
  <c r="L30" s="1"/>
  <c r="J32"/>
  <c r="K32" s="1"/>
  <c r="L32" s="1"/>
  <c r="J34"/>
  <c r="K34" s="1"/>
  <c r="L34" s="1"/>
  <c r="J36"/>
  <c r="K36" s="1"/>
  <c r="L36" s="1"/>
  <c r="J38"/>
  <c r="K38" s="1"/>
  <c r="L38" s="1"/>
  <c r="J40"/>
  <c r="K40" s="1"/>
  <c r="L40" s="1"/>
  <c r="J42"/>
  <c r="K42" s="1"/>
  <c r="L42" s="1"/>
  <c r="J44"/>
  <c r="K44" s="1"/>
  <c r="L44" s="1"/>
  <c r="J46"/>
  <c r="K46" s="1"/>
  <c r="L46" s="1"/>
  <c r="J48"/>
  <c r="K48" s="1"/>
  <c r="L48" s="1"/>
  <c r="J50"/>
  <c r="K50" s="1"/>
  <c r="L50" s="1"/>
  <c r="J52"/>
  <c r="K52" s="1"/>
  <c r="L52" s="1"/>
  <c r="J54"/>
  <c r="K54" s="1"/>
  <c r="L54" s="1"/>
  <c r="J56"/>
  <c r="K56" s="1"/>
  <c r="L56" s="1"/>
  <c r="J58"/>
  <c r="K58" s="1"/>
  <c r="L58" s="1"/>
  <c r="J60"/>
  <c r="K60" s="1"/>
  <c r="L60" s="1"/>
  <c r="J62"/>
  <c r="K62" s="1"/>
  <c r="L62" s="1"/>
  <c r="J64"/>
  <c r="K64" s="1"/>
  <c r="L64" s="1"/>
  <c r="J66"/>
  <c r="K66" s="1"/>
  <c r="L66" s="1"/>
  <c r="J68"/>
  <c r="K68" s="1"/>
  <c r="L68" s="1"/>
  <c r="J70"/>
  <c r="K70" s="1"/>
  <c r="L70" s="1"/>
  <c r="J72"/>
  <c r="K72" s="1"/>
  <c r="L72" s="1"/>
  <c r="J74"/>
  <c r="K74" s="1"/>
  <c r="L74" s="1"/>
  <c r="J76"/>
  <c r="K76" s="1"/>
  <c r="L76" s="1"/>
  <c r="J78"/>
  <c r="K78" s="1"/>
  <c r="L78" s="1"/>
  <c r="J80"/>
  <c r="K80" s="1"/>
  <c r="L80" s="1"/>
  <c r="J82"/>
  <c r="K82" s="1"/>
  <c r="L82" s="1"/>
  <c r="J84"/>
  <c r="K84" s="1"/>
  <c r="L84" s="1"/>
  <c r="J86"/>
  <c r="K86" s="1"/>
  <c r="L86" s="1"/>
  <c r="J88"/>
  <c r="K88" s="1"/>
  <c r="L88" s="1"/>
  <c r="J90"/>
  <c r="K90" s="1"/>
  <c r="L90" s="1"/>
  <c r="J92"/>
  <c r="K92" s="1"/>
  <c r="L92" s="1"/>
  <c r="J94"/>
  <c r="K94" s="1"/>
  <c r="L94" s="1"/>
  <c r="J96"/>
  <c r="K96" s="1"/>
  <c r="L96" s="1"/>
  <c r="J98"/>
  <c r="K98" s="1"/>
  <c r="L98" s="1"/>
  <c r="J100"/>
  <c r="K100" s="1"/>
  <c r="L100" s="1"/>
  <c r="J102"/>
  <c r="K102" s="1"/>
  <c r="L102" s="1"/>
  <c r="J104"/>
  <c r="K104" s="1"/>
  <c r="L104" s="1"/>
  <c r="J106"/>
  <c r="K106" s="1"/>
  <c r="L106" s="1"/>
  <c r="J108"/>
  <c r="K108" s="1"/>
  <c r="L108" s="1"/>
  <c r="J110"/>
  <c r="K110" s="1"/>
  <c r="L110" s="1"/>
  <c r="J112"/>
  <c r="K112" s="1"/>
  <c r="L112" s="1"/>
  <c r="J114"/>
  <c r="K114" s="1"/>
  <c r="L114" s="1"/>
  <c r="J116"/>
  <c r="K116" s="1"/>
  <c r="L116" s="1"/>
  <c r="J118"/>
  <c r="K118" s="1"/>
  <c r="L118" s="1"/>
  <c r="J120"/>
  <c r="K120" s="1"/>
  <c r="L120" s="1"/>
  <c r="J122"/>
  <c r="K122" s="1"/>
  <c r="L122" s="1"/>
  <c r="J124"/>
  <c r="K124" s="1"/>
  <c r="L124" s="1"/>
  <c r="J126"/>
  <c r="K126" s="1"/>
  <c r="L126" s="1"/>
  <c r="J128"/>
  <c r="K128" s="1"/>
  <c r="L128" s="1"/>
  <c r="J130"/>
  <c r="K130" s="1"/>
  <c r="L130" s="1"/>
  <c r="J132"/>
  <c r="K132" s="1"/>
  <c r="L132" s="1"/>
  <c r="J134"/>
  <c r="K134" s="1"/>
  <c r="L134" s="1"/>
  <c r="J136"/>
  <c r="K136" s="1"/>
  <c r="L136" s="1"/>
  <c r="J138"/>
  <c r="K138" s="1"/>
  <c r="L138" s="1"/>
  <c r="J140"/>
  <c r="K140" s="1"/>
  <c r="L140" s="1"/>
  <c r="J142"/>
  <c r="K142" s="1"/>
  <c r="L142" s="1"/>
  <c r="J144"/>
  <c r="K144" s="1"/>
  <c r="L144" s="1"/>
  <c r="J146"/>
  <c r="K146" s="1"/>
  <c r="L146" s="1"/>
  <c r="J148"/>
  <c r="K148" s="1"/>
  <c r="L148" s="1"/>
  <c r="J150"/>
  <c r="K150" s="1"/>
  <c r="L150" s="1"/>
  <c r="J152"/>
  <c r="K152" s="1"/>
  <c r="L152" s="1"/>
  <c r="J154"/>
  <c r="K154" s="1"/>
  <c r="L154" s="1"/>
  <c r="J156"/>
  <c r="K156" s="1"/>
  <c r="L156" s="1"/>
  <c r="J158"/>
  <c r="K158" s="1"/>
  <c r="L158" s="1"/>
  <c r="J160"/>
  <c r="K160" s="1"/>
  <c r="L160" s="1"/>
  <c r="J162"/>
  <c r="K162" s="1"/>
  <c r="L162" s="1"/>
  <c r="J164"/>
  <c r="K164" s="1"/>
  <c r="L164" s="1"/>
  <c r="J166"/>
  <c r="K166" s="1"/>
  <c r="L166" s="1"/>
  <c r="J168"/>
  <c r="K168" s="1"/>
  <c r="L168" s="1"/>
  <c r="J170"/>
  <c r="K170" s="1"/>
  <c r="L170" s="1"/>
  <c r="J172"/>
  <c r="K172" s="1"/>
  <c r="L172" s="1"/>
  <c r="J174"/>
  <c r="K174" s="1"/>
  <c r="L174" s="1"/>
  <c r="J176"/>
  <c r="K176" s="1"/>
  <c r="L176" s="1"/>
  <c r="J178"/>
  <c r="K178" s="1"/>
  <c r="L178" s="1"/>
  <c r="J180"/>
  <c r="K180" s="1"/>
  <c r="L180" s="1"/>
  <c r="J182"/>
  <c r="K182" s="1"/>
  <c r="L182" s="1"/>
  <c r="J184"/>
  <c r="K184" s="1"/>
  <c r="L184" s="1"/>
  <c r="J186"/>
  <c r="K186" s="1"/>
  <c r="L186" s="1"/>
  <c r="J188"/>
  <c r="K188" s="1"/>
  <c r="L188" s="1"/>
  <c r="J190"/>
  <c r="K190" s="1"/>
  <c r="L190" s="1"/>
  <c r="J192"/>
  <c r="K192" s="1"/>
  <c r="L192" s="1"/>
  <c r="J194"/>
  <c r="K194" s="1"/>
  <c r="L194" s="1"/>
  <c r="J196"/>
  <c r="K196" s="1"/>
  <c r="L196" s="1"/>
  <c r="J198"/>
  <c r="K198" s="1"/>
  <c r="L198" s="1"/>
  <c r="J200"/>
  <c r="K200" s="1"/>
  <c r="L200" s="1"/>
  <c r="J202"/>
  <c r="K202" s="1"/>
  <c r="L202" s="1"/>
  <c r="J204"/>
  <c r="K204" s="1"/>
  <c r="L204" s="1"/>
  <c r="J206"/>
  <c r="K206" s="1"/>
  <c r="L206" s="1"/>
  <c r="J208"/>
  <c r="K208" s="1"/>
  <c r="L208" s="1"/>
  <c r="J210"/>
  <c r="K210" s="1"/>
  <c r="L210" s="1"/>
  <c r="J212"/>
  <c r="K212" s="1"/>
  <c r="L212" s="1"/>
  <c r="J214"/>
  <c r="K214" s="1"/>
  <c r="L214" s="1"/>
  <c r="J216"/>
  <c r="K216" s="1"/>
  <c r="L216" s="1"/>
  <c r="J218"/>
  <c r="K218" s="1"/>
  <c r="L218" s="1"/>
  <c r="J220"/>
  <c r="K220" s="1"/>
  <c r="L220" s="1"/>
  <c r="J222"/>
  <c r="K222" s="1"/>
  <c r="L222" s="1"/>
  <c r="J224"/>
  <c r="K224" s="1"/>
  <c r="L224" s="1"/>
  <c r="J226"/>
  <c r="K226" s="1"/>
  <c r="L226" s="1"/>
  <c r="J228"/>
  <c r="K228" s="1"/>
  <c r="L228" s="1"/>
  <c r="J230"/>
  <c r="K230" s="1"/>
  <c r="L230" s="1"/>
  <c r="J232"/>
  <c r="K232" s="1"/>
  <c r="L232" s="1"/>
  <c r="J234"/>
  <c r="K234" s="1"/>
  <c r="L234" s="1"/>
  <c r="J236"/>
  <c r="K236" s="1"/>
  <c r="L236" s="1"/>
  <c r="J238"/>
  <c r="K238" s="1"/>
  <c r="L238" s="1"/>
  <c r="J240"/>
  <c r="K240" s="1"/>
  <c r="L240" s="1"/>
  <c r="J242"/>
  <c r="K242" s="1"/>
  <c r="L242" s="1"/>
  <c r="J244"/>
  <c r="K244" s="1"/>
  <c r="L244" s="1"/>
  <c r="J246"/>
  <c r="K246" s="1"/>
  <c r="L246" s="1"/>
  <c r="J248"/>
  <c r="K248" s="1"/>
  <c r="L248" s="1"/>
  <c r="J250"/>
  <c r="K250" s="1"/>
  <c r="L250" s="1"/>
  <c r="J252"/>
  <c r="K252" s="1"/>
  <c r="L252" s="1"/>
  <c r="J4"/>
  <c r="K4" s="1"/>
  <c r="L4" s="1"/>
  <c r="J221"/>
  <c r="K221" s="1"/>
  <c r="L221" s="1"/>
  <c r="J225"/>
  <c r="K225" s="1"/>
  <c r="L225" s="1"/>
  <c r="J229"/>
  <c r="K229" s="1"/>
  <c r="L229" s="1"/>
  <c r="J233"/>
  <c r="K233" s="1"/>
  <c r="L233" s="1"/>
  <c r="J237"/>
  <c r="K237" s="1"/>
  <c r="L237" s="1"/>
  <c r="J241"/>
  <c r="K241" s="1"/>
  <c r="L241" s="1"/>
  <c r="J245"/>
  <c r="K245" s="1"/>
  <c r="L245" s="1"/>
  <c r="J247"/>
  <c r="K247" s="1"/>
  <c r="L247" s="1"/>
  <c r="J251"/>
  <c r="K251" s="1"/>
  <c r="L251" s="1"/>
  <c r="J5"/>
  <c r="K5" s="1"/>
  <c r="L5" s="1"/>
  <c r="J7"/>
  <c r="K7" s="1"/>
  <c r="L7" s="1"/>
  <c r="J9"/>
  <c r="K9" s="1"/>
  <c r="L9" s="1"/>
  <c r="J11"/>
  <c r="K11" s="1"/>
  <c r="L11" s="1"/>
  <c r="J13"/>
  <c r="K13" s="1"/>
  <c r="L13" s="1"/>
  <c r="J15"/>
  <c r="K15" s="1"/>
  <c r="L15" s="1"/>
  <c r="J17"/>
  <c r="K17" s="1"/>
  <c r="L17" s="1"/>
  <c r="J19"/>
  <c r="K19" s="1"/>
  <c r="L19" s="1"/>
  <c r="J21"/>
  <c r="K21" s="1"/>
  <c r="L21" s="1"/>
  <c r="J23"/>
  <c r="K23" s="1"/>
  <c r="L23" s="1"/>
  <c r="J25"/>
  <c r="K25" s="1"/>
  <c r="L25" s="1"/>
  <c r="J27"/>
  <c r="K27" s="1"/>
  <c r="L27" s="1"/>
  <c r="J29"/>
  <c r="K29" s="1"/>
  <c r="L29" s="1"/>
  <c r="J31"/>
  <c r="K31" s="1"/>
  <c r="L31" s="1"/>
  <c r="J33"/>
  <c r="K33" s="1"/>
  <c r="L33" s="1"/>
  <c r="J35"/>
  <c r="K35" s="1"/>
  <c r="L35" s="1"/>
  <c r="J37"/>
  <c r="K37" s="1"/>
  <c r="L37" s="1"/>
  <c r="J39"/>
  <c r="K39" s="1"/>
  <c r="L39" s="1"/>
  <c r="J41"/>
  <c r="K41" s="1"/>
  <c r="L41" s="1"/>
  <c r="J43"/>
  <c r="K43" s="1"/>
  <c r="L43" s="1"/>
  <c r="J45"/>
  <c r="K45" s="1"/>
  <c r="L45" s="1"/>
  <c r="J47"/>
  <c r="K47" s="1"/>
  <c r="L47" s="1"/>
  <c r="J49"/>
  <c r="K49" s="1"/>
  <c r="L49" s="1"/>
  <c r="J51"/>
  <c r="K51" s="1"/>
  <c r="L51" s="1"/>
  <c r="J53"/>
  <c r="K53" s="1"/>
  <c r="L53" s="1"/>
  <c r="J55"/>
  <c r="K55" s="1"/>
  <c r="L55" s="1"/>
  <c r="J57"/>
  <c r="K57" s="1"/>
  <c r="L57" s="1"/>
  <c r="J59"/>
  <c r="K59" s="1"/>
  <c r="L59" s="1"/>
  <c r="J61"/>
  <c r="K61" s="1"/>
  <c r="L61" s="1"/>
  <c r="J63"/>
  <c r="K63" s="1"/>
  <c r="L63" s="1"/>
  <c r="J65"/>
  <c r="K65" s="1"/>
  <c r="L65" s="1"/>
  <c r="J67"/>
  <c r="K67" s="1"/>
  <c r="L67" s="1"/>
  <c r="J69"/>
  <c r="K69" s="1"/>
  <c r="L69" s="1"/>
  <c r="J71"/>
  <c r="K71" s="1"/>
  <c r="L71" s="1"/>
  <c r="J73"/>
  <c r="K73" s="1"/>
  <c r="L73" s="1"/>
  <c r="J75"/>
  <c r="K75" s="1"/>
  <c r="L75" s="1"/>
  <c r="J77"/>
  <c r="K77" s="1"/>
  <c r="L77" s="1"/>
  <c r="J79"/>
  <c r="K79" s="1"/>
  <c r="L79" s="1"/>
  <c r="J81"/>
  <c r="K81" s="1"/>
  <c r="L81" s="1"/>
  <c r="J83"/>
  <c r="K83" s="1"/>
  <c r="L83" s="1"/>
  <c r="J85"/>
  <c r="K85" s="1"/>
  <c r="L85" s="1"/>
  <c r="J87"/>
  <c r="K87" s="1"/>
  <c r="L87" s="1"/>
  <c r="J89"/>
  <c r="K89" s="1"/>
  <c r="L89" s="1"/>
  <c r="J91"/>
  <c r="K91" s="1"/>
  <c r="L91" s="1"/>
  <c r="J93"/>
  <c r="K93" s="1"/>
  <c r="L93" s="1"/>
  <c r="J95"/>
  <c r="K95" s="1"/>
  <c r="L95" s="1"/>
  <c r="J97"/>
  <c r="K97" s="1"/>
  <c r="L97" s="1"/>
  <c r="J99"/>
  <c r="K99" s="1"/>
  <c r="L99" s="1"/>
  <c r="J101"/>
  <c r="K101" s="1"/>
  <c r="L101" s="1"/>
  <c r="J103"/>
  <c r="K103" s="1"/>
  <c r="L103" s="1"/>
  <c r="J105"/>
  <c r="K105" s="1"/>
  <c r="L105" s="1"/>
  <c r="J107"/>
  <c r="K107" s="1"/>
  <c r="L107" s="1"/>
  <c r="J109"/>
  <c r="K109" s="1"/>
  <c r="L109" s="1"/>
  <c r="J111"/>
  <c r="K111" s="1"/>
  <c r="L111" s="1"/>
  <c r="J113"/>
  <c r="K113" s="1"/>
  <c r="L113" s="1"/>
  <c r="J115"/>
  <c r="K115" s="1"/>
  <c r="L115" s="1"/>
  <c r="J117"/>
  <c r="K117" s="1"/>
  <c r="L117" s="1"/>
  <c r="J119"/>
  <c r="K119" s="1"/>
  <c r="L119" s="1"/>
  <c r="J121"/>
  <c r="K121" s="1"/>
  <c r="L121" s="1"/>
  <c r="J123"/>
  <c r="K123" s="1"/>
  <c r="L123" s="1"/>
  <c r="J125"/>
  <c r="K125" s="1"/>
  <c r="L125" s="1"/>
  <c r="J127"/>
  <c r="K127" s="1"/>
  <c r="L127" s="1"/>
  <c r="J129"/>
  <c r="K129" s="1"/>
  <c r="L129" s="1"/>
  <c r="J131"/>
  <c r="K131" s="1"/>
  <c r="L131" s="1"/>
  <c r="J133"/>
  <c r="K133" s="1"/>
  <c r="L133" s="1"/>
  <c r="J135"/>
  <c r="K135" s="1"/>
  <c r="L135" s="1"/>
  <c r="J137"/>
  <c r="K137" s="1"/>
  <c r="L137" s="1"/>
  <c r="J139"/>
  <c r="K139" s="1"/>
  <c r="L139" s="1"/>
  <c r="J141"/>
  <c r="K141" s="1"/>
  <c r="L141" s="1"/>
  <c r="J143"/>
  <c r="K143" s="1"/>
  <c r="L143" s="1"/>
  <c r="J145"/>
  <c r="K145" s="1"/>
  <c r="L145" s="1"/>
  <c r="J147"/>
  <c r="K147" s="1"/>
  <c r="L147" s="1"/>
  <c r="J149"/>
  <c r="K149" s="1"/>
  <c r="L149" s="1"/>
  <c r="J151"/>
  <c r="K151" s="1"/>
  <c r="L151" s="1"/>
  <c r="J153"/>
  <c r="K153" s="1"/>
  <c r="L153" s="1"/>
  <c r="J155"/>
  <c r="K155" s="1"/>
  <c r="L155" s="1"/>
  <c r="J157"/>
  <c r="K157" s="1"/>
  <c r="L157" s="1"/>
  <c r="J159"/>
  <c r="K159" s="1"/>
  <c r="L159" s="1"/>
  <c r="J161"/>
  <c r="K161" s="1"/>
  <c r="L161" s="1"/>
  <c r="J163"/>
  <c r="K163" s="1"/>
  <c r="L163" s="1"/>
  <c r="J165"/>
  <c r="K165" s="1"/>
  <c r="L165" s="1"/>
  <c r="J167"/>
  <c r="K167" s="1"/>
  <c r="L167" s="1"/>
  <c r="J169"/>
  <c r="K169" s="1"/>
  <c r="L169" s="1"/>
  <c r="J171"/>
  <c r="K171" s="1"/>
  <c r="L171" s="1"/>
  <c r="J173"/>
  <c r="K173" s="1"/>
  <c r="L173" s="1"/>
  <c r="J175"/>
  <c r="K175" s="1"/>
  <c r="L175" s="1"/>
  <c r="J177"/>
  <c r="K177" s="1"/>
  <c r="L177" s="1"/>
  <c r="J179"/>
  <c r="K179" s="1"/>
  <c r="L179" s="1"/>
  <c r="J181"/>
  <c r="K181" s="1"/>
  <c r="L181" s="1"/>
  <c r="J183"/>
  <c r="K183" s="1"/>
  <c r="L183" s="1"/>
  <c r="J185"/>
  <c r="K185" s="1"/>
  <c r="L185" s="1"/>
  <c r="J187"/>
  <c r="K187" s="1"/>
  <c r="L187" s="1"/>
  <c r="J189"/>
  <c r="K189" s="1"/>
  <c r="L189" s="1"/>
  <c r="J191"/>
  <c r="K191" s="1"/>
  <c r="L191" s="1"/>
  <c r="J193"/>
  <c r="K193" s="1"/>
  <c r="L193" s="1"/>
  <c r="J195"/>
  <c r="K195" s="1"/>
  <c r="L195" s="1"/>
  <c r="J197"/>
  <c r="K197" s="1"/>
  <c r="L197" s="1"/>
  <c r="J199"/>
  <c r="K199" s="1"/>
  <c r="L199" s="1"/>
  <c r="J201"/>
  <c r="K201" s="1"/>
  <c r="L201" s="1"/>
  <c r="J203"/>
  <c r="K203" s="1"/>
  <c r="L203" s="1"/>
  <c r="J205"/>
  <c r="K205" s="1"/>
  <c r="L205" s="1"/>
  <c r="J207"/>
  <c r="K207" s="1"/>
  <c r="L207" s="1"/>
  <c r="J209"/>
  <c r="K209" s="1"/>
  <c r="L209" s="1"/>
  <c r="J211"/>
  <c r="K211" s="1"/>
  <c r="L211" s="1"/>
  <c r="J213"/>
  <c r="K213" s="1"/>
  <c r="L213" s="1"/>
  <c r="J215"/>
  <c r="K215" s="1"/>
  <c r="L215" s="1"/>
  <c r="J217"/>
  <c r="K217" s="1"/>
  <c r="L217" s="1"/>
  <c r="J219"/>
  <c r="K219" s="1"/>
  <c r="L219" s="1"/>
  <c r="J223"/>
  <c r="K223" s="1"/>
  <c r="L223" s="1"/>
  <c r="J227"/>
  <c r="K227" s="1"/>
  <c r="L227" s="1"/>
  <c r="J231"/>
  <c r="K231" s="1"/>
  <c r="L231" s="1"/>
  <c r="J235"/>
  <c r="K235" s="1"/>
  <c r="L235" s="1"/>
  <c r="J239"/>
  <c r="K239" s="1"/>
  <c r="L239" s="1"/>
  <c r="J243"/>
  <c r="K243" s="1"/>
  <c r="L243" s="1"/>
  <c r="J249"/>
  <c r="K249" s="1"/>
  <c r="L249" s="1"/>
  <c r="J253"/>
  <c r="K253" s="1"/>
  <c r="L253" s="1"/>
  <c r="E128"/>
  <c r="AJ245"/>
  <c r="AQ245"/>
  <c r="AJ237"/>
  <c r="AQ237"/>
  <c r="AJ233"/>
  <c r="AQ233"/>
  <c r="AJ229"/>
  <c r="AQ229"/>
  <c r="AJ225"/>
  <c r="AQ225"/>
  <c r="AJ221"/>
  <c r="AQ221"/>
  <c r="AJ217"/>
  <c r="AQ217"/>
  <c r="AJ213"/>
  <c r="AQ213"/>
  <c r="AJ209"/>
  <c r="AQ209"/>
  <c r="AJ205"/>
  <c r="AQ205"/>
  <c r="AJ201"/>
  <c r="AQ201"/>
  <c r="AJ197"/>
  <c r="AQ197"/>
  <c r="AJ193"/>
  <c r="AQ193"/>
  <c r="AJ189"/>
  <c r="AQ189"/>
  <c r="AJ185"/>
  <c r="AQ185"/>
  <c r="AJ181"/>
  <c r="AQ181"/>
  <c r="AJ177"/>
  <c r="AQ177"/>
  <c r="AJ173"/>
  <c r="AQ173"/>
  <c r="AJ169"/>
  <c r="AQ169"/>
  <c r="AJ165"/>
  <c r="AQ165"/>
  <c r="AJ161"/>
  <c r="AQ161"/>
  <c r="AJ157"/>
  <c r="AQ157"/>
  <c r="AJ153"/>
  <c r="AQ153"/>
  <c r="AJ149"/>
  <c r="AQ149"/>
  <c r="AJ145"/>
  <c r="AQ145"/>
  <c r="AJ141"/>
  <c r="AQ141"/>
  <c r="AJ137"/>
  <c r="AQ137"/>
  <c r="AJ133"/>
  <c r="AQ133"/>
  <c r="AJ129"/>
  <c r="AQ129"/>
  <c r="AJ125"/>
  <c r="AQ125"/>
  <c r="AJ121"/>
  <c r="AQ121"/>
  <c r="AJ117"/>
  <c r="AQ117"/>
  <c r="AJ113"/>
  <c r="AQ113"/>
  <c r="AJ109"/>
  <c r="AQ109"/>
  <c r="AJ105"/>
  <c r="AQ105"/>
  <c r="AJ101"/>
  <c r="AQ101"/>
  <c r="AJ97"/>
  <c r="AQ97"/>
  <c r="AJ93"/>
  <c r="AQ93"/>
  <c r="AJ89"/>
  <c r="AQ89"/>
  <c r="AJ85"/>
  <c r="AQ85"/>
  <c r="AJ81"/>
  <c r="AQ81"/>
  <c r="AJ77"/>
  <c r="AQ77"/>
  <c r="AJ73"/>
  <c r="AQ73"/>
  <c r="AJ69"/>
  <c r="AQ69"/>
  <c r="AJ65"/>
  <c r="AQ65"/>
  <c r="AJ61"/>
  <c r="AQ61"/>
  <c r="AJ57"/>
  <c r="AQ57"/>
  <c r="AJ53"/>
  <c r="AQ53"/>
  <c r="AJ49"/>
  <c r="AQ49"/>
  <c r="AJ45"/>
  <c r="AQ45"/>
  <c r="AJ41"/>
  <c r="AQ41"/>
  <c r="AJ37"/>
  <c r="AQ37"/>
  <c r="AJ33"/>
  <c r="AQ33"/>
  <c r="AJ29"/>
  <c r="AQ29"/>
  <c r="AJ25"/>
  <c r="AQ25"/>
  <c r="AJ21"/>
  <c r="AQ21"/>
  <c r="AJ17"/>
  <c r="AQ17"/>
  <c r="AJ13"/>
  <c r="AQ13"/>
  <c r="AJ9"/>
  <c r="AQ9"/>
  <c r="AJ5"/>
  <c r="AQ5"/>
  <c r="AJ249"/>
  <c r="AQ249"/>
  <c r="AJ246"/>
  <c r="AQ246"/>
  <c r="AJ234"/>
  <c r="AQ234"/>
  <c r="AJ222"/>
  <c r="AQ222"/>
  <c r="AJ214"/>
  <c r="AQ214"/>
  <c r="AJ202"/>
  <c r="AQ202"/>
  <c r="AJ194"/>
  <c r="AQ194"/>
  <c r="AJ182"/>
  <c r="AQ182"/>
  <c r="AJ178"/>
  <c r="AQ178"/>
  <c r="AJ170"/>
  <c r="AQ170"/>
  <c r="AJ162"/>
  <c r="AQ162"/>
  <c r="AJ154"/>
  <c r="AQ154"/>
  <c r="AJ150"/>
  <c r="AQ150"/>
  <c r="AJ146"/>
  <c r="AQ146"/>
  <c r="AJ142"/>
  <c r="AQ142"/>
  <c r="AJ138"/>
  <c r="AQ138"/>
  <c r="AJ130"/>
  <c r="AQ130"/>
  <c r="AJ126"/>
  <c r="AQ126"/>
  <c r="AJ122"/>
  <c r="AQ122"/>
  <c r="AJ118"/>
  <c r="AQ118"/>
  <c r="AJ114"/>
  <c r="AQ114"/>
  <c r="AJ110"/>
  <c r="AQ110"/>
  <c r="AJ106"/>
  <c r="AQ106"/>
  <c r="AJ102"/>
  <c r="AQ102"/>
  <c r="AJ98"/>
  <c r="AQ98"/>
  <c r="AJ94"/>
  <c r="AQ94"/>
  <c r="AJ90"/>
  <c r="AQ90"/>
  <c r="AJ86"/>
  <c r="AQ86"/>
  <c r="AJ82"/>
  <c r="AQ82"/>
  <c r="AJ78"/>
  <c r="AQ78"/>
  <c r="AJ74"/>
  <c r="AQ74"/>
  <c r="AJ70"/>
  <c r="AQ70"/>
  <c r="AJ66"/>
  <c r="AQ66"/>
  <c r="AJ62"/>
  <c r="AQ62"/>
  <c r="AJ58"/>
  <c r="AQ58"/>
  <c r="AJ54"/>
  <c r="AQ54"/>
  <c r="AJ50"/>
  <c r="AQ50"/>
  <c r="AJ46"/>
  <c r="AQ46"/>
  <c r="AJ42"/>
  <c r="AQ42"/>
  <c r="AJ38"/>
  <c r="AQ38"/>
  <c r="AJ34"/>
  <c r="AQ34"/>
  <c r="AJ30"/>
  <c r="AQ30"/>
  <c r="AJ26"/>
  <c r="AQ26"/>
  <c r="AJ22"/>
  <c r="AQ22"/>
  <c r="AJ18"/>
  <c r="AQ18"/>
  <c r="AJ14"/>
  <c r="AQ14"/>
  <c r="AJ10"/>
  <c r="AQ10"/>
  <c r="AJ6"/>
  <c r="AQ6"/>
  <c r="AJ241"/>
  <c r="AQ241"/>
  <c r="AJ242"/>
  <c r="AQ242"/>
  <c r="AJ230"/>
  <c r="AQ230"/>
  <c r="AJ218"/>
  <c r="AQ218"/>
  <c r="AJ210"/>
  <c r="AQ210"/>
  <c r="AJ198"/>
  <c r="AQ198"/>
  <c r="AJ190"/>
  <c r="AQ190"/>
  <c r="AJ174"/>
  <c r="AQ174"/>
  <c r="AJ166"/>
  <c r="AQ166"/>
  <c r="AJ158"/>
  <c r="AQ158"/>
  <c r="AJ134"/>
  <c r="AQ134"/>
  <c r="AJ251"/>
  <c r="AQ251"/>
  <c r="AJ247"/>
  <c r="AQ247"/>
  <c r="AJ243"/>
  <c r="AQ243"/>
  <c r="AJ239"/>
  <c r="AQ239"/>
  <c r="AJ235"/>
  <c r="AQ235"/>
  <c r="AJ231"/>
  <c r="AQ231"/>
  <c r="AJ227"/>
  <c r="AQ227"/>
  <c r="AJ223"/>
  <c r="AQ223"/>
  <c r="AJ219"/>
  <c r="AQ219"/>
  <c r="AJ215"/>
  <c r="AQ215"/>
  <c r="AJ211"/>
  <c r="AQ211"/>
  <c r="AJ207"/>
  <c r="AQ207"/>
  <c r="AJ203"/>
  <c r="AQ203"/>
  <c r="AJ199"/>
  <c r="AQ199"/>
  <c r="AJ195"/>
  <c r="AQ195"/>
  <c r="AJ191"/>
  <c r="AQ191"/>
  <c r="AJ187"/>
  <c r="AQ187"/>
  <c r="AJ183"/>
  <c r="AQ183"/>
  <c r="AJ179"/>
  <c r="AQ179"/>
  <c r="AJ175"/>
  <c r="AQ175"/>
  <c r="AJ171"/>
  <c r="AQ171"/>
  <c r="AJ167"/>
  <c r="AQ167"/>
  <c r="AJ163"/>
  <c r="AQ163"/>
  <c r="AJ159"/>
  <c r="AQ159"/>
  <c r="AJ155"/>
  <c r="AQ155"/>
  <c r="AJ151"/>
  <c r="AQ151"/>
  <c r="AJ147"/>
  <c r="AQ147"/>
  <c r="AJ143"/>
  <c r="AQ143"/>
  <c r="AJ139"/>
  <c r="AQ139"/>
  <c r="AJ135"/>
  <c r="AQ135"/>
  <c r="AJ131"/>
  <c r="AQ131"/>
  <c r="AJ127"/>
  <c r="AQ127"/>
  <c r="AJ123"/>
  <c r="AQ123"/>
  <c r="AJ119"/>
  <c r="AQ119"/>
  <c r="AJ115"/>
  <c r="AQ115"/>
  <c r="AJ111"/>
  <c r="AQ111"/>
  <c r="AJ107"/>
  <c r="AQ107"/>
  <c r="AJ103"/>
  <c r="AQ103"/>
  <c r="AJ99"/>
  <c r="AQ99"/>
  <c r="AJ95"/>
  <c r="AQ95"/>
  <c r="AJ91"/>
  <c r="AQ91"/>
  <c r="AJ87"/>
  <c r="AQ87"/>
  <c r="AJ83"/>
  <c r="AQ83"/>
  <c r="AJ79"/>
  <c r="AQ79"/>
  <c r="AJ75"/>
  <c r="AQ75"/>
  <c r="AJ71"/>
  <c r="AQ71"/>
  <c r="AJ67"/>
  <c r="AQ67"/>
  <c r="AJ63"/>
  <c r="AQ63"/>
  <c r="AJ59"/>
  <c r="AQ59"/>
  <c r="AJ55"/>
  <c r="AQ55"/>
  <c r="AJ51"/>
  <c r="AQ51"/>
  <c r="AJ47"/>
  <c r="AQ47"/>
  <c r="AJ43"/>
  <c r="AQ43"/>
  <c r="AJ39"/>
  <c r="AQ39"/>
  <c r="AJ35"/>
  <c r="AQ35"/>
  <c r="AJ31"/>
  <c r="AQ31"/>
  <c r="AJ27"/>
  <c r="AQ27"/>
  <c r="AJ23"/>
  <c r="AQ23"/>
  <c r="AJ19"/>
  <c r="AQ19"/>
  <c r="AJ15"/>
  <c r="AQ15"/>
  <c r="AJ11"/>
  <c r="AQ11"/>
  <c r="AJ7"/>
  <c r="AQ7"/>
  <c r="AJ253"/>
  <c r="AQ253"/>
  <c r="AJ250"/>
  <c r="AQ250"/>
  <c r="AJ238"/>
  <c r="AQ238"/>
  <c r="AJ226"/>
  <c r="AQ226"/>
  <c r="AJ206"/>
  <c r="AQ206"/>
  <c r="AJ186"/>
  <c r="AQ186"/>
  <c r="AJ4"/>
  <c r="AQ4"/>
  <c r="AJ252"/>
  <c r="AQ252"/>
  <c r="AJ248"/>
  <c r="AQ248"/>
  <c r="AJ244"/>
  <c r="AQ244"/>
  <c r="AJ240"/>
  <c r="AQ240"/>
  <c r="AJ236"/>
  <c r="AQ236"/>
  <c r="AJ232"/>
  <c r="AQ232"/>
  <c r="AJ228"/>
  <c r="AQ228"/>
  <c r="AJ224"/>
  <c r="AQ224"/>
  <c r="AJ220"/>
  <c r="AQ220"/>
  <c r="AJ216"/>
  <c r="AQ216"/>
  <c r="AJ212"/>
  <c r="AQ212"/>
  <c r="AJ208"/>
  <c r="AQ208"/>
  <c r="AJ204"/>
  <c r="AQ204"/>
  <c r="AJ200"/>
  <c r="AQ200"/>
  <c r="AJ196"/>
  <c r="AQ196"/>
  <c r="AJ192"/>
  <c r="AQ192"/>
  <c r="AJ188"/>
  <c r="AQ188"/>
  <c r="AJ184"/>
  <c r="AQ184"/>
  <c r="AJ180"/>
  <c r="AQ180"/>
  <c r="AJ176"/>
  <c r="AQ176"/>
  <c r="AJ172"/>
  <c r="AQ172"/>
  <c r="AJ168"/>
  <c r="AQ168"/>
  <c r="AJ164"/>
  <c r="AQ164"/>
  <c r="AJ160"/>
  <c r="AQ160"/>
  <c r="AJ156"/>
  <c r="AQ156"/>
  <c r="AJ152"/>
  <c r="AQ152"/>
  <c r="AJ148"/>
  <c r="AQ148"/>
  <c r="AJ144"/>
  <c r="AQ144"/>
  <c r="AJ140"/>
  <c r="AQ140"/>
  <c r="AJ136"/>
  <c r="AQ136"/>
  <c r="AJ132"/>
  <c r="AQ132"/>
  <c r="AJ128"/>
  <c r="AQ128"/>
  <c r="AJ124"/>
  <c r="AQ124"/>
  <c r="AJ120"/>
  <c r="AQ120"/>
  <c r="AJ116"/>
  <c r="AQ116"/>
  <c r="AJ112"/>
  <c r="AQ112"/>
  <c r="AJ108"/>
  <c r="AQ108"/>
  <c r="AJ104"/>
  <c r="AQ104"/>
  <c r="AJ100"/>
  <c r="AQ100"/>
  <c r="AJ96"/>
  <c r="AQ96"/>
  <c r="AJ92"/>
  <c r="AQ92"/>
  <c r="AJ88"/>
  <c r="AQ88"/>
  <c r="AJ84"/>
  <c r="AQ84"/>
  <c r="AJ80"/>
  <c r="AQ80"/>
  <c r="AJ76"/>
  <c r="AQ76"/>
  <c r="AJ72"/>
  <c r="AQ72"/>
  <c r="AJ68"/>
  <c r="AQ68"/>
  <c r="AJ64"/>
  <c r="AQ64"/>
  <c r="AJ60"/>
  <c r="AQ60"/>
  <c r="AJ56"/>
  <c r="AQ56"/>
  <c r="AJ52"/>
  <c r="AQ52"/>
  <c r="AJ48"/>
  <c r="AQ48"/>
  <c r="AJ44"/>
  <c r="AQ44"/>
  <c r="AJ40"/>
  <c r="AQ40"/>
  <c r="AJ36"/>
  <c r="AQ36"/>
  <c r="AJ32"/>
  <c r="AQ32"/>
  <c r="AJ28"/>
  <c r="AQ28"/>
  <c r="AJ24"/>
  <c r="AQ24"/>
  <c r="AJ20"/>
  <c r="AQ20"/>
  <c r="AJ16"/>
  <c r="AQ16"/>
  <c r="AJ12"/>
  <c r="AQ12"/>
  <c r="AJ8"/>
  <c r="AQ8"/>
  <c r="V4"/>
  <c r="AC4"/>
  <c r="V252"/>
  <c r="AC252"/>
  <c r="V250"/>
  <c r="AC250"/>
  <c r="V248"/>
  <c r="AC248"/>
  <c r="V246"/>
  <c r="AC246"/>
  <c r="V244"/>
  <c r="AC244"/>
  <c r="V242"/>
  <c r="AC242"/>
  <c r="V240"/>
  <c r="AC240"/>
  <c r="V238"/>
  <c r="AC238"/>
  <c r="V236"/>
  <c r="AC236"/>
  <c r="V234"/>
  <c r="AC234"/>
  <c r="V232"/>
  <c r="AC232"/>
  <c r="V230"/>
  <c r="AC230"/>
  <c r="V228"/>
  <c r="AC228"/>
  <c r="V226"/>
  <c r="AC226"/>
  <c r="V224"/>
  <c r="AC224"/>
  <c r="V222"/>
  <c r="AC222"/>
  <c r="V220"/>
  <c r="AC220"/>
  <c r="V218"/>
  <c r="AC218"/>
  <c r="V216"/>
  <c r="AC216"/>
  <c r="V214"/>
  <c r="AC214"/>
  <c r="V212"/>
  <c r="AC212"/>
  <c r="V210"/>
  <c r="AC210"/>
  <c r="V208"/>
  <c r="AC208"/>
  <c r="V206"/>
  <c r="AC206"/>
  <c r="V204"/>
  <c r="AC204"/>
  <c r="V202"/>
  <c r="AC202"/>
  <c r="V200"/>
  <c r="AC200"/>
  <c r="V198"/>
  <c r="AC198"/>
  <c r="V196"/>
  <c r="AC196"/>
  <c r="V194"/>
  <c r="AC194"/>
  <c r="V192"/>
  <c r="AC192"/>
  <c r="V190"/>
  <c r="AC190"/>
  <c r="V188"/>
  <c r="AC188"/>
  <c r="V186"/>
  <c r="AC186"/>
  <c r="V184"/>
  <c r="AC184"/>
  <c r="V182"/>
  <c r="AC182"/>
  <c r="V180"/>
  <c r="AC180"/>
  <c r="V178"/>
  <c r="AC178"/>
  <c r="V176"/>
  <c r="AC176"/>
  <c r="V174"/>
  <c r="AC174"/>
  <c r="V172"/>
  <c r="AC172"/>
  <c r="V170"/>
  <c r="AC170"/>
  <c r="V168"/>
  <c r="AC168"/>
  <c r="V166"/>
  <c r="AC166"/>
  <c r="V164"/>
  <c r="AC164"/>
  <c r="V162"/>
  <c r="AC162"/>
  <c r="V160"/>
  <c r="AC160"/>
  <c r="V158"/>
  <c r="AC158"/>
  <c r="V156"/>
  <c r="AC156"/>
  <c r="V154"/>
  <c r="AC154"/>
  <c r="V152"/>
  <c r="AC152"/>
  <c r="V150"/>
  <c r="AC150"/>
  <c r="V148"/>
  <c r="AC148"/>
  <c r="V146"/>
  <c r="AC146"/>
  <c r="V144"/>
  <c r="AC144"/>
  <c r="V142"/>
  <c r="AC142"/>
  <c r="V140"/>
  <c r="AC140"/>
  <c r="V138"/>
  <c r="AC138"/>
  <c r="V136"/>
  <c r="AC136"/>
  <c r="V134"/>
  <c r="AC134"/>
  <c r="V132"/>
  <c r="AC132"/>
  <c r="V130"/>
  <c r="AC130"/>
  <c r="V128"/>
  <c r="AC128"/>
  <c r="V126"/>
  <c r="AC126"/>
  <c r="V124"/>
  <c r="AC124"/>
  <c r="V122"/>
  <c r="AC122"/>
  <c r="V120"/>
  <c r="AC120"/>
  <c r="V118"/>
  <c r="AC118"/>
  <c r="V116"/>
  <c r="AC116"/>
  <c r="V114"/>
  <c r="AC114"/>
  <c r="V112"/>
  <c r="AC112"/>
  <c r="V110"/>
  <c r="AC110"/>
  <c r="V108"/>
  <c r="AC108"/>
  <c r="V106"/>
  <c r="AC106"/>
  <c r="V104"/>
  <c r="AC104"/>
  <c r="V102"/>
  <c r="AC102"/>
  <c r="V100"/>
  <c r="AC100"/>
  <c r="V98"/>
  <c r="AC98"/>
  <c r="V96"/>
  <c r="AC96"/>
  <c r="V94"/>
  <c r="AC94"/>
  <c r="V92"/>
  <c r="AC92"/>
  <c r="V90"/>
  <c r="AC90"/>
  <c r="V88"/>
  <c r="AC88"/>
  <c r="V86"/>
  <c r="AC86"/>
  <c r="V84"/>
  <c r="AC84"/>
  <c r="AC253"/>
  <c r="V253"/>
  <c r="AC251"/>
  <c r="V251"/>
  <c r="AC249"/>
  <c r="V249"/>
  <c r="AC247"/>
  <c r="V247"/>
  <c r="AC245"/>
  <c r="V245"/>
  <c r="AC243"/>
  <c r="V243"/>
  <c r="AC241"/>
  <c r="V241"/>
  <c r="AC239"/>
  <c r="V239"/>
  <c r="AC237"/>
  <c r="V237"/>
  <c r="AC235"/>
  <c r="V235"/>
  <c r="AC233"/>
  <c r="V233"/>
  <c r="AC231"/>
  <c r="V231"/>
  <c r="AC229"/>
  <c r="V229"/>
  <c r="AC227"/>
  <c r="V227"/>
  <c r="AC225"/>
  <c r="V225"/>
  <c r="AC223"/>
  <c r="V223"/>
  <c r="AC221"/>
  <c r="V221"/>
  <c r="AC219"/>
  <c r="V219"/>
  <c r="AC217"/>
  <c r="V217"/>
  <c r="AC215"/>
  <c r="V215"/>
  <c r="AC213"/>
  <c r="V213"/>
  <c r="AC211"/>
  <c r="V211"/>
  <c r="AC209"/>
  <c r="V209"/>
  <c r="AC207"/>
  <c r="V207"/>
  <c r="AC205"/>
  <c r="V205"/>
  <c r="AC203"/>
  <c r="V203"/>
  <c r="AC201"/>
  <c r="V201"/>
  <c r="AC199"/>
  <c r="V199"/>
  <c r="AC197"/>
  <c r="V197"/>
  <c r="AC195"/>
  <c r="V195"/>
  <c r="AC193"/>
  <c r="V193"/>
  <c r="AC191"/>
  <c r="V191"/>
  <c r="AC189"/>
  <c r="V189"/>
  <c r="AC187"/>
  <c r="V187"/>
  <c r="AC185"/>
  <c r="V185"/>
  <c r="AC183"/>
  <c r="V183"/>
  <c r="AC181"/>
  <c r="V181"/>
  <c r="AC179"/>
  <c r="V179"/>
  <c r="AC177"/>
  <c r="V177"/>
  <c r="AC175"/>
  <c r="V175"/>
  <c r="AC173"/>
  <c r="V173"/>
  <c r="AC171"/>
  <c r="V171"/>
  <c r="AC169"/>
  <c r="V169"/>
  <c r="AC167"/>
  <c r="V167"/>
  <c r="AC165"/>
  <c r="V165"/>
  <c r="AC163"/>
  <c r="V163"/>
  <c r="AC161"/>
  <c r="V161"/>
  <c r="AC159"/>
  <c r="V159"/>
  <c r="AC157"/>
  <c r="V157"/>
  <c r="AC155"/>
  <c r="V155"/>
  <c r="AC153"/>
  <c r="V153"/>
  <c r="AC151"/>
  <c r="V151"/>
  <c r="AC149"/>
  <c r="V149"/>
  <c r="AC147"/>
  <c r="V147"/>
  <c r="AC145"/>
  <c r="V145"/>
  <c r="AC143"/>
  <c r="V143"/>
  <c r="AC141"/>
  <c r="V141"/>
  <c r="AC139"/>
  <c r="V139"/>
  <c r="AC137"/>
  <c r="V137"/>
  <c r="AC135"/>
  <c r="V135"/>
  <c r="AC133"/>
  <c r="V133"/>
  <c r="AC131"/>
  <c r="V131"/>
  <c r="AC129"/>
  <c r="V129"/>
  <c r="AC127"/>
  <c r="V127"/>
  <c r="AC125"/>
  <c r="V125"/>
  <c r="AC123"/>
  <c r="V123"/>
  <c r="AC121"/>
  <c r="V121"/>
  <c r="AC119"/>
  <c r="V119"/>
  <c r="AC117"/>
  <c r="V117"/>
  <c r="AC115"/>
  <c r="V115"/>
  <c r="AC113"/>
  <c r="V113"/>
  <c r="AC111"/>
  <c r="V111"/>
  <c r="AC109"/>
  <c r="V109"/>
  <c r="AC107"/>
  <c r="V107"/>
  <c r="AC105"/>
  <c r="V105"/>
  <c r="AC103"/>
  <c r="V103"/>
  <c r="AC101"/>
  <c r="V101"/>
  <c r="AC99"/>
  <c r="V99"/>
  <c r="AC97"/>
  <c r="V97"/>
  <c r="AC95"/>
  <c r="V95"/>
  <c r="AC93"/>
  <c r="V93"/>
  <c r="AC91"/>
  <c r="V91"/>
  <c r="AC89"/>
  <c r="V89"/>
  <c r="AC87"/>
  <c r="V87"/>
  <c r="AC85"/>
  <c r="V85"/>
  <c r="AC83"/>
  <c r="V83"/>
  <c r="AC81"/>
  <c r="V81"/>
  <c r="AC79"/>
  <c r="V79"/>
  <c r="AC77"/>
  <c r="V77"/>
  <c r="AC75"/>
  <c r="V75"/>
  <c r="AC73"/>
  <c r="V73"/>
  <c r="AC71"/>
  <c r="V71"/>
  <c r="AC69"/>
  <c r="V69"/>
  <c r="AC67"/>
  <c r="V67"/>
  <c r="AC65"/>
  <c r="V65"/>
  <c r="AC63"/>
  <c r="V63"/>
  <c r="AC61"/>
  <c r="V61"/>
  <c r="AC59"/>
  <c r="V59"/>
  <c r="AC57"/>
  <c r="V57"/>
  <c r="AC55"/>
  <c r="V55"/>
  <c r="AC53"/>
  <c r="V53"/>
  <c r="AC51"/>
  <c r="V51"/>
  <c r="AC49"/>
  <c r="V49"/>
  <c r="AC47"/>
  <c r="V47"/>
  <c r="AC45"/>
  <c r="V45"/>
  <c r="AC43"/>
  <c r="V43"/>
  <c r="AC41"/>
  <c r="V41"/>
  <c r="AC39"/>
  <c r="V39"/>
  <c r="AC37"/>
  <c r="V37"/>
  <c r="AC35"/>
  <c r="V35"/>
  <c r="AC33"/>
  <c r="V33"/>
  <c r="AC31"/>
  <c r="V31"/>
  <c r="AC29"/>
  <c r="V29"/>
  <c r="AC27"/>
  <c r="V27"/>
  <c r="AC25"/>
  <c r="V25"/>
  <c r="AC23"/>
  <c r="V23"/>
  <c r="AC21"/>
  <c r="V21"/>
  <c r="AC19"/>
  <c r="V19"/>
  <c r="AC17"/>
  <c r="V17"/>
  <c r="AC15"/>
  <c r="V15"/>
  <c r="AC13"/>
  <c r="V13"/>
  <c r="AC11"/>
  <c r="V11"/>
  <c r="AC9"/>
  <c r="V9"/>
  <c r="AC7"/>
  <c r="V7"/>
  <c r="AC5"/>
  <c r="V5"/>
  <c r="V82"/>
  <c r="AC82"/>
  <c r="V80"/>
  <c r="AC80"/>
  <c r="V78"/>
  <c r="AC78"/>
  <c r="V76"/>
  <c r="AC76"/>
  <c r="V74"/>
  <c r="AC74"/>
  <c r="V72"/>
  <c r="AC72"/>
  <c r="V70"/>
  <c r="AC70"/>
  <c r="V68"/>
  <c r="AC68"/>
  <c r="V66"/>
  <c r="AC66"/>
  <c r="V64"/>
  <c r="AC64"/>
  <c r="V62"/>
  <c r="AC62"/>
  <c r="V60"/>
  <c r="AC60"/>
  <c r="V58"/>
  <c r="AC58"/>
  <c r="V56"/>
  <c r="AC56"/>
  <c r="V54"/>
  <c r="AC54"/>
  <c r="V52"/>
  <c r="AC52"/>
  <c r="V50"/>
  <c r="AC50"/>
  <c r="V48"/>
  <c r="AC48"/>
  <c r="V46"/>
  <c r="AC46"/>
  <c r="V44"/>
  <c r="AC44"/>
  <c r="V42"/>
  <c r="AC42"/>
  <c r="V40"/>
  <c r="AC40"/>
  <c r="V38"/>
  <c r="AC38"/>
  <c r="V36"/>
  <c r="AC36"/>
  <c r="V34"/>
  <c r="AC34"/>
  <c r="V32"/>
  <c r="AC32"/>
  <c r="V30"/>
  <c r="AC30"/>
  <c r="V28"/>
  <c r="AC28"/>
  <c r="V26"/>
  <c r="AC26"/>
  <c r="V24"/>
  <c r="AC24"/>
  <c r="V22"/>
  <c r="AC22"/>
  <c r="V20"/>
  <c r="AC20"/>
  <c r="V18"/>
  <c r="AC18"/>
  <c r="V16"/>
  <c r="AC16"/>
  <c r="V14"/>
  <c r="AC14"/>
  <c r="V12"/>
  <c r="AC12"/>
  <c r="V10"/>
  <c r="AC10"/>
  <c r="V8"/>
  <c r="AC8"/>
  <c r="V6"/>
  <c r="AC6"/>
  <c r="G4"/>
  <c r="C11" s="1"/>
  <c r="W4" s="1"/>
  <c r="N4" s="1"/>
  <c r="G252"/>
  <c r="G250"/>
  <c r="G248"/>
  <c r="G246"/>
  <c r="G244"/>
  <c r="G242"/>
  <c r="G240"/>
  <c r="G238"/>
  <c r="G236"/>
  <c r="G234"/>
  <c r="G232"/>
  <c r="G230"/>
  <c r="G228"/>
  <c r="G226"/>
  <c r="G224"/>
  <c r="G222"/>
  <c r="G220"/>
  <c r="G218"/>
  <c r="G216"/>
  <c r="G214"/>
  <c r="G212"/>
  <c r="G210"/>
  <c r="G208"/>
  <c r="G206"/>
  <c r="G204"/>
  <c r="G202"/>
  <c r="G200"/>
  <c r="G198"/>
  <c r="G196"/>
  <c r="G194"/>
  <c r="G192"/>
  <c r="G190"/>
  <c r="G188"/>
  <c r="G186"/>
  <c r="G184"/>
  <c r="G180"/>
  <c r="G178"/>
  <c r="G176"/>
  <c r="G174"/>
  <c r="G172"/>
  <c r="G170"/>
  <c r="G168"/>
  <c r="G166"/>
  <c r="G164"/>
  <c r="G162"/>
  <c r="G160"/>
  <c r="G158"/>
  <c r="G156"/>
  <c r="G154"/>
  <c r="G152"/>
  <c r="G150"/>
  <c r="G148"/>
  <c r="G146"/>
  <c r="G144"/>
  <c r="G142"/>
  <c r="G140"/>
  <c r="G138"/>
  <c r="G136"/>
  <c r="G134"/>
  <c r="G132"/>
  <c r="G130"/>
  <c r="G128"/>
  <c r="G126"/>
  <c r="G124"/>
  <c r="G122"/>
  <c r="G120"/>
  <c r="G118"/>
  <c r="G116"/>
  <c r="G114"/>
  <c r="G112"/>
  <c r="G110"/>
  <c r="G108"/>
  <c r="G106"/>
  <c r="G104"/>
  <c r="G102"/>
  <c r="G100"/>
  <c r="G98"/>
  <c r="G96"/>
  <c r="G94"/>
  <c r="G92"/>
  <c r="G90"/>
  <c r="G88"/>
  <c r="G86"/>
  <c r="G84"/>
  <c r="G82"/>
  <c r="G80"/>
  <c r="G78"/>
  <c r="G76"/>
  <c r="G74"/>
  <c r="G72"/>
  <c r="G70"/>
  <c r="G68"/>
  <c r="G66"/>
  <c r="G64"/>
  <c r="G60"/>
  <c r="G58"/>
  <c r="G56"/>
  <c r="G54"/>
  <c r="G52"/>
  <c r="G50"/>
  <c r="G48"/>
  <c r="G46"/>
  <c r="G44"/>
  <c r="G42"/>
  <c r="G40"/>
  <c r="G38"/>
  <c r="G36"/>
  <c r="G34"/>
  <c r="G32"/>
  <c r="G30"/>
  <c r="G28"/>
  <c r="G26"/>
  <c r="G24"/>
  <c r="G22"/>
  <c r="G20"/>
  <c r="G18"/>
  <c r="G16"/>
  <c r="G14"/>
  <c r="G12"/>
  <c r="G10"/>
  <c r="G8"/>
  <c r="G6"/>
  <c r="G253"/>
  <c r="C14" s="1"/>
  <c r="G251"/>
  <c r="G249"/>
  <c r="G247"/>
  <c r="G245"/>
  <c r="G243"/>
  <c r="G241"/>
  <c r="G239"/>
  <c r="G237"/>
  <c r="G235"/>
  <c r="G233"/>
  <c r="G231"/>
  <c r="G229"/>
  <c r="G227"/>
  <c r="G225"/>
  <c r="G223"/>
  <c r="G221"/>
  <c r="G219"/>
  <c r="G217"/>
  <c r="G215"/>
  <c r="G213"/>
  <c r="G211"/>
  <c r="G209"/>
  <c r="G207"/>
  <c r="G205"/>
  <c r="G203"/>
  <c r="G201"/>
  <c r="G199"/>
  <c r="G197"/>
  <c r="G195"/>
  <c r="G193"/>
  <c r="G191"/>
  <c r="G189"/>
  <c r="G187"/>
  <c r="G185"/>
  <c r="G183"/>
  <c r="G181"/>
  <c r="G179"/>
  <c r="G177"/>
  <c r="G175"/>
  <c r="G173"/>
  <c r="G171"/>
  <c r="G169"/>
  <c r="G167"/>
  <c r="G165"/>
  <c r="G163"/>
  <c r="G161"/>
  <c r="G159"/>
  <c r="G157"/>
  <c r="G155"/>
  <c r="G153"/>
  <c r="G151"/>
  <c r="G149"/>
  <c r="G147"/>
  <c r="G145"/>
  <c r="G143"/>
  <c r="G141"/>
  <c r="G139"/>
  <c r="G137"/>
  <c r="G135"/>
  <c r="G133"/>
  <c r="G131"/>
  <c r="G129"/>
  <c r="G127"/>
  <c r="G125"/>
  <c r="G123"/>
  <c r="G121"/>
  <c r="G119"/>
  <c r="G117"/>
  <c r="C13" s="1"/>
  <c r="G115"/>
  <c r="G113"/>
  <c r="G111"/>
  <c r="G109"/>
  <c r="G107"/>
  <c r="G105"/>
  <c r="G103"/>
  <c r="C12" s="1"/>
  <c r="G101"/>
  <c r="G99"/>
  <c r="G97"/>
  <c r="G95"/>
  <c r="G93"/>
  <c r="G91"/>
  <c r="G89"/>
  <c r="G87"/>
  <c r="G85"/>
  <c r="G83"/>
  <c r="G81"/>
  <c r="G79"/>
  <c r="G77"/>
  <c r="G75"/>
  <c r="G73"/>
  <c r="G71"/>
  <c r="G69"/>
  <c r="G67"/>
  <c r="G65"/>
  <c r="G63"/>
  <c r="G61"/>
  <c r="G59"/>
  <c r="G57"/>
  <c r="G55"/>
  <c r="G53"/>
  <c r="G51"/>
  <c r="G49"/>
  <c r="G47"/>
  <c r="G45"/>
  <c r="G43"/>
  <c r="G41"/>
  <c r="G39"/>
  <c r="G37"/>
  <c r="G35"/>
  <c r="G33"/>
  <c r="G31"/>
  <c r="G29"/>
  <c r="G27"/>
  <c r="G25"/>
  <c r="G23"/>
  <c r="G21"/>
  <c r="G19"/>
  <c r="G17"/>
  <c r="G15"/>
  <c r="G13"/>
  <c r="G11"/>
  <c r="G9"/>
  <c r="G7"/>
  <c r="C4" s="1"/>
  <c r="G5"/>
  <c r="G182"/>
  <c r="G62"/>
  <c r="H253"/>
  <c r="AN253" s="1"/>
  <c r="H249"/>
  <c r="AN249" s="1"/>
  <c r="H243"/>
  <c r="AN243" s="1"/>
  <c r="H239"/>
  <c r="AN239" s="1"/>
  <c r="H235"/>
  <c r="AN235" s="1"/>
  <c r="H233"/>
  <c r="AN233" s="1"/>
  <c r="H231"/>
  <c r="AN231" s="1"/>
  <c r="H229"/>
  <c r="AN229" s="1"/>
  <c r="H227"/>
  <c r="AN227" s="1"/>
  <c r="H225"/>
  <c r="AN225" s="1"/>
  <c r="H223"/>
  <c r="AN223" s="1"/>
  <c r="H221"/>
  <c r="AN221" s="1"/>
  <c r="H219"/>
  <c r="AN219" s="1"/>
  <c r="H217"/>
  <c r="AN217" s="1"/>
  <c r="H215"/>
  <c r="AN215" s="1"/>
  <c r="H213"/>
  <c r="AN213" s="1"/>
  <c r="H211"/>
  <c r="AN211" s="1"/>
  <c r="H209"/>
  <c r="AN209" s="1"/>
  <c r="H207"/>
  <c r="AN207" s="1"/>
  <c r="H205"/>
  <c r="AN205" s="1"/>
  <c r="H203"/>
  <c r="AN203" s="1"/>
  <c r="H201"/>
  <c r="AN201" s="1"/>
  <c r="H199"/>
  <c r="AN199" s="1"/>
  <c r="H197"/>
  <c r="AN197" s="1"/>
  <c r="H195"/>
  <c r="AN195" s="1"/>
  <c r="H193"/>
  <c r="AN193" s="1"/>
  <c r="H191"/>
  <c r="AN191" s="1"/>
  <c r="H189"/>
  <c r="AN189" s="1"/>
  <c r="H187"/>
  <c r="AN187" s="1"/>
  <c r="H185"/>
  <c r="AN185" s="1"/>
  <c r="H183"/>
  <c r="AN183" s="1"/>
  <c r="H181"/>
  <c r="AN181" s="1"/>
  <c r="H179"/>
  <c r="AN179" s="1"/>
  <c r="H177"/>
  <c r="AN177" s="1"/>
  <c r="H175"/>
  <c r="AN175" s="1"/>
  <c r="H173"/>
  <c r="AN173" s="1"/>
  <c r="H171"/>
  <c r="AN171" s="1"/>
  <c r="H169"/>
  <c r="AN169" s="1"/>
  <c r="H167"/>
  <c r="AN167" s="1"/>
  <c r="H165"/>
  <c r="AN165" s="1"/>
  <c r="H163"/>
  <c r="AN163" s="1"/>
  <c r="H161"/>
  <c r="AN161" s="1"/>
  <c r="H159"/>
  <c r="AN159" s="1"/>
  <c r="H157"/>
  <c r="AN157" s="1"/>
  <c r="H155"/>
  <c r="AN155" s="1"/>
  <c r="H153"/>
  <c r="AN153" s="1"/>
  <c r="H151"/>
  <c r="AN151" s="1"/>
  <c r="H149"/>
  <c r="AN149" s="1"/>
  <c r="H147"/>
  <c r="AN147" s="1"/>
  <c r="H145"/>
  <c r="AN145" s="1"/>
  <c r="H143"/>
  <c r="AN143" s="1"/>
  <c r="H141"/>
  <c r="AN141" s="1"/>
  <c r="H139"/>
  <c r="AN139" s="1"/>
  <c r="H137"/>
  <c r="AN137" s="1"/>
  <c r="H135"/>
  <c r="AN135" s="1"/>
  <c r="H133"/>
  <c r="AN133" s="1"/>
  <c r="H131"/>
  <c r="AN131" s="1"/>
  <c r="H129"/>
  <c r="AN129" s="1"/>
  <c r="H127"/>
  <c r="AN127" s="1"/>
  <c r="H125"/>
  <c r="AN125" s="1"/>
  <c r="H123"/>
  <c r="AN123" s="1"/>
  <c r="H121"/>
  <c r="AN121" s="1"/>
  <c r="H119"/>
  <c r="AN119" s="1"/>
  <c r="H117"/>
  <c r="AN117" s="1"/>
  <c r="H115"/>
  <c r="AN115" s="1"/>
  <c r="H113"/>
  <c r="AN113" s="1"/>
  <c r="H111"/>
  <c r="AN111" s="1"/>
  <c r="H109"/>
  <c r="AN109" s="1"/>
  <c r="H105"/>
  <c r="AN105" s="1"/>
  <c r="H103"/>
  <c r="AN103" s="1"/>
  <c r="H101"/>
  <c r="AN101" s="1"/>
  <c r="H99"/>
  <c r="AN99" s="1"/>
  <c r="H97"/>
  <c r="AN97" s="1"/>
  <c r="H93"/>
  <c r="AN93" s="1"/>
  <c r="H91"/>
  <c r="AN91" s="1"/>
  <c r="H89"/>
  <c r="AN89" s="1"/>
  <c r="H87"/>
  <c r="AN87" s="1"/>
  <c r="H85"/>
  <c r="AN85" s="1"/>
  <c r="H83"/>
  <c r="AN83" s="1"/>
  <c r="H81"/>
  <c r="AN81" s="1"/>
  <c r="H79"/>
  <c r="AN79" s="1"/>
  <c r="H77"/>
  <c r="AN77" s="1"/>
  <c r="H75"/>
  <c r="AN75" s="1"/>
  <c r="H73"/>
  <c r="AN73" s="1"/>
  <c r="H71"/>
  <c r="AN71" s="1"/>
  <c r="H69"/>
  <c r="AN69" s="1"/>
  <c r="H67"/>
  <c r="AN67" s="1"/>
  <c r="H65"/>
  <c r="AN65" s="1"/>
  <c r="H63"/>
  <c r="AN63" s="1"/>
  <c r="H61"/>
  <c r="AN61" s="1"/>
  <c r="H59"/>
  <c r="AN59" s="1"/>
  <c r="H57"/>
  <c r="AN57" s="1"/>
  <c r="H55"/>
  <c r="AN55" s="1"/>
  <c r="H53"/>
  <c r="AN53" s="1"/>
  <c r="H51"/>
  <c r="AN51" s="1"/>
  <c r="H49"/>
  <c r="AN49" s="1"/>
  <c r="H47"/>
  <c r="AN47" s="1"/>
  <c r="H45"/>
  <c r="AN45" s="1"/>
  <c r="H43"/>
  <c r="AN43" s="1"/>
  <c r="H41"/>
  <c r="AN41" s="1"/>
  <c r="H39"/>
  <c r="AN39" s="1"/>
  <c r="H37"/>
  <c r="AN37" s="1"/>
  <c r="H35"/>
  <c r="AN35" s="1"/>
  <c r="H33"/>
  <c r="AN33" s="1"/>
  <c r="H31"/>
  <c r="AN31" s="1"/>
  <c r="H29"/>
  <c r="AN29" s="1"/>
  <c r="H27"/>
  <c r="AN27" s="1"/>
  <c r="H25"/>
  <c r="AN25" s="1"/>
  <c r="H23"/>
  <c r="AN23" s="1"/>
  <c r="H21"/>
  <c r="AN21" s="1"/>
  <c r="H19"/>
  <c r="AN19" s="1"/>
  <c r="H17"/>
  <c r="AN17" s="1"/>
  <c r="H15"/>
  <c r="AN15" s="1"/>
  <c r="H13"/>
  <c r="AN13" s="1"/>
  <c r="H11"/>
  <c r="AN11" s="1"/>
  <c r="H9"/>
  <c r="AN9" s="1"/>
  <c r="H7"/>
  <c r="AN7" s="1"/>
  <c r="H251"/>
  <c r="AN251" s="1"/>
  <c r="H247"/>
  <c r="AN247" s="1"/>
  <c r="H245"/>
  <c r="AN245" s="1"/>
  <c r="H241"/>
  <c r="AN241" s="1"/>
  <c r="H237"/>
  <c r="AN237" s="1"/>
  <c r="H252"/>
  <c r="AN252" s="1"/>
  <c r="H250"/>
  <c r="AN250" s="1"/>
  <c r="H248"/>
  <c r="AN248" s="1"/>
  <c r="H246"/>
  <c r="AN246" s="1"/>
  <c r="H244"/>
  <c r="AN244" s="1"/>
  <c r="H242"/>
  <c r="AN242" s="1"/>
  <c r="H240"/>
  <c r="AN240" s="1"/>
  <c r="H238"/>
  <c r="AN238" s="1"/>
  <c r="H236"/>
  <c r="AN236" s="1"/>
  <c r="H234"/>
  <c r="AN234" s="1"/>
  <c r="H232"/>
  <c r="AN232" s="1"/>
  <c r="H230"/>
  <c r="AN230" s="1"/>
  <c r="H228"/>
  <c r="AN228" s="1"/>
  <c r="H226"/>
  <c r="AN226" s="1"/>
  <c r="H224"/>
  <c r="AN224" s="1"/>
  <c r="H222"/>
  <c r="AN222" s="1"/>
  <c r="H220"/>
  <c r="AN220" s="1"/>
  <c r="H218"/>
  <c r="AN218" s="1"/>
  <c r="H216"/>
  <c r="AN216" s="1"/>
  <c r="H214"/>
  <c r="AN214" s="1"/>
  <c r="H212"/>
  <c r="AN212" s="1"/>
  <c r="H210"/>
  <c r="AN210" s="1"/>
  <c r="H208"/>
  <c r="AN208" s="1"/>
  <c r="H206"/>
  <c r="AN206" s="1"/>
  <c r="H204"/>
  <c r="AN204" s="1"/>
  <c r="H202"/>
  <c r="AN202" s="1"/>
  <c r="H200"/>
  <c r="AN200" s="1"/>
  <c r="H198"/>
  <c r="AN198" s="1"/>
  <c r="H196"/>
  <c r="AN196" s="1"/>
  <c r="H194"/>
  <c r="AN194" s="1"/>
  <c r="H192"/>
  <c r="AN192" s="1"/>
  <c r="H190"/>
  <c r="AN190" s="1"/>
  <c r="H188"/>
  <c r="AN188" s="1"/>
  <c r="H186"/>
  <c r="AN186" s="1"/>
  <c r="H184"/>
  <c r="AN184" s="1"/>
  <c r="H182"/>
  <c r="AN182" s="1"/>
  <c r="H180"/>
  <c r="AN180" s="1"/>
  <c r="H178"/>
  <c r="AN178" s="1"/>
  <c r="H176"/>
  <c r="AN176" s="1"/>
  <c r="H174"/>
  <c r="AN174" s="1"/>
  <c r="H172"/>
  <c r="AN172" s="1"/>
  <c r="H170"/>
  <c r="AN170" s="1"/>
  <c r="H168"/>
  <c r="AN168" s="1"/>
  <c r="H166"/>
  <c r="AN166" s="1"/>
  <c r="H164"/>
  <c r="AN164" s="1"/>
  <c r="H162"/>
  <c r="AN162" s="1"/>
  <c r="H160"/>
  <c r="AN160" s="1"/>
  <c r="H158"/>
  <c r="AN158" s="1"/>
  <c r="H156"/>
  <c r="AN156" s="1"/>
  <c r="H154"/>
  <c r="AN154" s="1"/>
  <c r="H152"/>
  <c r="AN152" s="1"/>
  <c r="H150"/>
  <c r="AN150" s="1"/>
  <c r="H148"/>
  <c r="AN148" s="1"/>
  <c r="H146"/>
  <c r="AN146" s="1"/>
  <c r="H144"/>
  <c r="AN144" s="1"/>
  <c r="H142"/>
  <c r="AN142" s="1"/>
  <c r="H140"/>
  <c r="AN140" s="1"/>
  <c r="H138"/>
  <c r="AN138" s="1"/>
  <c r="H136"/>
  <c r="AN136" s="1"/>
  <c r="H134"/>
  <c r="AN134" s="1"/>
  <c r="H132"/>
  <c r="AN132" s="1"/>
  <c r="H130"/>
  <c r="AN130" s="1"/>
  <c r="H128"/>
  <c r="AN128" s="1"/>
  <c r="H126"/>
  <c r="AN126" s="1"/>
  <c r="H124"/>
  <c r="AN124" s="1"/>
  <c r="H122"/>
  <c r="AN122" s="1"/>
  <c r="H120"/>
  <c r="AN120" s="1"/>
  <c r="H118"/>
  <c r="AN118" s="1"/>
  <c r="H116"/>
  <c r="AN116" s="1"/>
  <c r="H114"/>
  <c r="AN114" s="1"/>
  <c r="H112"/>
  <c r="AN112" s="1"/>
  <c r="H110"/>
  <c r="AN110" s="1"/>
  <c r="H106"/>
  <c r="AN106" s="1"/>
  <c r="H104"/>
  <c r="AN104" s="1"/>
  <c r="H102"/>
  <c r="AN102" s="1"/>
  <c r="H100"/>
  <c r="AN100" s="1"/>
  <c r="H98"/>
  <c r="AN98" s="1"/>
  <c r="H96"/>
  <c r="AN96" s="1"/>
  <c r="H92"/>
  <c r="AN92" s="1"/>
  <c r="H90"/>
  <c r="AN90" s="1"/>
  <c r="H88"/>
  <c r="AN88" s="1"/>
  <c r="H86"/>
  <c r="AN86" s="1"/>
  <c r="H84"/>
  <c r="AN84" s="1"/>
  <c r="H82"/>
  <c r="AN82" s="1"/>
  <c r="H80"/>
  <c r="AN80" s="1"/>
  <c r="H78"/>
  <c r="AN78" s="1"/>
  <c r="H76"/>
  <c r="AN76" s="1"/>
  <c r="H74"/>
  <c r="AN74" s="1"/>
  <c r="H72"/>
  <c r="AN72" s="1"/>
  <c r="H70"/>
  <c r="AN70" s="1"/>
  <c r="H68"/>
  <c r="AN68" s="1"/>
  <c r="H66"/>
  <c r="AN66" s="1"/>
  <c r="H64"/>
  <c r="AN64" s="1"/>
  <c r="H62"/>
  <c r="AN62" s="1"/>
  <c r="H60"/>
  <c r="AN60" s="1"/>
  <c r="H58"/>
  <c r="AN58" s="1"/>
  <c r="H56"/>
  <c r="AN56" s="1"/>
  <c r="H54"/>
  <c r="AN54" s="1"/>
  <c r="H52"/>
  <c r="AN52" s="1"/>
  <c r="H50"/>
  <c r="AN50" s="1"/>
  <c r="H46"/>
  <c r="AN46" s="1"/>
  <c r="H44"/>
  <c r="AN44" s="1"/>
  <c r="H40"/>
  <c r="AN40" s="1"/>
  <c r="H38"/>
  <c r="AN38" s="1"/>
  <c r="H36"/>
  <c r="AN36" s="1"/>
  <c r="H34"/>
  <c r="AN34" s="1"/>
  <c r="H32"/>
  <c r="AN32" s="1"/>
  <c r="H30"/>
  <c r="AN30" s="1"/>
  <c r="H26"/>
  <c r="AN26" s="1"/>
  <c r="H24"/>
  <c r="AN24" s="1"/>
  <c r="H22"/>
  <c r="AN22" s="1"/>
  <c r="H20"/>
  <c r="AN20" s="1"/>
  <c r="H18"/>
  <c r="AN18" s="1"/>
  <c r="H16"/>
  <c r="AN16" s="1"/>
  <c r="H14"/>
  <c r="AN14" s="1"/>
  <c r="H12"/>
  <c r="AN12" s="1"/>
  <c r="H10"/>
  <c r="AN10" s="1"/>
  <c r="H8"/>
  <c r="AN8" s="1"/>
  <c r="H6"/>
  <c r="AN6" s="1"/>
  <c r="H108"/>
  <c r="AN108" s="1"/>
  <c r="H107"/>
  <c r="AN107" s="1"/>
  <c r="H95"/>
  <c r="AN95" s="1"/>
  <c r="H48"/>
  <c r="AN48" s="1"/>
  <c r="H94"/>
  <c r="AN94" s="1"/>
  <c r="H5"/>
  <c r="AN5" s="1"/>
  <c r="H42"/>
  <c r="AN42" s="1"/>
  <c r="H28"/>
  <c r="AN28" s="1"/>
  <c r="C5" l="1"/>
  <c r="AL4"/>
  <c r="AS4"/>
  <c r="AE4"/>
  <c r="X4"/>
  <c r="M4" s="1"/>
  <c r="AO5"/>
  <c r="AO10"/>
  <c r="AO18"/>
  <c r="AO26"/>
  <c r="AO36"/>
  <c r="AO46"/>
  <c r="AO56"/>
  <c r="AO64"/>
  <c r="AO72"/>
  <c r="AO80"/>
  <c r="AO88"/>
  <c r="AO98"/>
  <c r="AO106"/>
  <c r="AO116"/>
  <c r="AO124"/>
  <c r="AO132"/>
  <c r="AO140"/>
  <c r="AO148"/>
  <c r="AO156"/>
  <c r="AO164"/>
  <c r="AO172"/>
  <c r="AO180"/>
  <c r="AO188"/>
  <c r="AO196"/>
  <c r="AO204"/>
  <c r="AO212"/>
  <c r="AO220"/>
  <c r="AO228"/>
  <c r="AO236"/>
  <c r="AO244"/>
  <c r="AO252"/>
  <c r="AO245"/>
  <c r="AO9"/>
  <c r="AO17"/>
  <c r="AO25"/>
  <c r="AO33"/>
  <c r="AO41"/>
  <c r="AO49"/>
  <c r="AO57"/>
  <c r="AO65"/>
  <c r="AO73"/>
  <c r="AO81"/>
  <c r="AO89"/>
  <c r="AO99"/>
  <c r="AO109"/>
  <c r="AO117"/>
  <c r="AO125"/>
  <c r="AO133"/>
  <c r="AO141"/>
  <c r="AO149"/>
  <c r="AO157"/>
  <c r="AO165"/>
  <c r="AO173"/>
  <c r="AO181"/>
  <c r="AO189"/>
  <c r="AO197"/>
  <c r="AO205"/>
  <c r="AO213"/>
  <c r="AO221"/>
  <c r="AO229"/>
  <c r="AO239"/>
  <c r="AO94"/>
  <c r="AO8"/>
  <c r="AO24"/>
  <c r="AO44"/>
  <c r="AO54"/>
  <c r="AO62"/>
  <c r="AP62" s="1"/>
  <c r="AO70"/>
  <c r="AO78"/>
  <c r="AP78" s="1"/>
  <c r="AO86"/>
  <c r="AO96"/>
  <c r="AO104"/>
  <c r="AO114"/>
  <c r="AP114" s="1"/>
  <c r="AO122"/>
  <c r="AO130"/>
  <c r="AP130" s="1"/>
  <c r="AO138"/>
  <c r="AO146"/>
  <c r="AP146" s="1"/>
  <c r="AO154"/>
  <c r="AO162"/>
  <c r="AP162" s="1"/>
  <c r="AO170"/>
  <c r="AO178"/>
  <c r="AP178" s="1"/>
  <c r="AO186"/>
  <c r="AO194"/>
  <c r="AP194" s="1"/>
  <c r="AO202"/>
  <c r="AO210"/>
  <c r="AP210" s="1"/>
  <c r="AO218"/>
  <c r="AO226"/>
  <c r="AP226" s="1"/>
  <c r="AO234"/>
  <c r="AO242"/>
  <c r="AP242" s="1"/>
  <c r="AO250"/>
  <c r="AO241"/>
  <c r="AO7"/>
  <c r="AO15"/>
  <c r="AO23"/>
  <c r="AO31"/>
  <c r="AO39"/>
  <c r="AO47"/>
  <c r="AO55"/>
  <c r="AO63"/>
  <c r="AO71"/>
  <c r="AO79"/>
  <c r="AO87"/>
  <c r="AO97"/>
  <c r="AO105"/>
  <c r="AO115"/>
  <c r="AO123"/>
  <c r="AO131"/>
  <c r="AO139"/>
  <c r="AO147"/>
  <c r="AO155"/>
  <c r="AO163"/>
  <c r="AO171"/>
  <c r="AO179"/>
  <c r="AO187"/>
  <c r="AO195"/>
  <c r="AO203"/>
  <c r="AO211"/>
  <c r="AO219"/>
  <c r="AO227"/>
  <c r="AO235"/>
  <c r="AO253"/>
  <c r="AO107"/>
  <c r="AO42"/>
  <c r="AP42" s="1"/>
  <c r="AO95"/>
  <c r="AO16"/>
  <c r="AO34"/>
  <c r="AO28"/>
  <c r="AO48"/>
  <c r="AO6"/>
  <c r="AP6" s="1"/>
  <c r="AO14"/>
  <c r="AO22"/>
  <c r="AP22" s="1"/>
  <c r="AO32"/>
  <c r="AO40"/>
  <c r="AO52"/>
  <c r="AO60"/>
  <c r="AO68"/>
  <c r="AO76"/>
  <c r="AO84"/>
  <c r="AO92"/>
  <c r="AO102"/>
  <c r="AO112"/>
  <c r="AO120"/>
  <c r="AO128"/>
  <c r="AO136"/>
  <c r="AO144"/>
  <c r="AO152"/>
  <c r="AO160"/>
  <c r="AO168"/>
  <c r="AO176"/>
  <c r="AO184"/>
  <c r="AO192"/>
  <c r="AO200"/>
  <c r="AO208"/>
  <c r="AO216"/>
  <c r="AO224"/>
  <c r="AO232"/>
  <c r="AO240"/>
  <c r="AO248"/>
  <c r="AO237"/>
  <c r="AO251"/>
  <c r="AO13"/>
  <c r="AO21"/>
  <c r="AO29"/>
  <c r="AO37"/>
  <c r="AO45"/>
  <c r="AO53"/>
  <c r="AO61"/>
  <c r="AO69"/>
  <c r="AO77"/>
  <c r="AO85"/>
  <c r="AO93"/>
  <c r="AO103"/>
  <c r="AO113"/>
  <c r="AO121"/>
  <c r="AO129"/>
  <c r="AO137"/>
  <c r="AO145"/>
  <c r="AO153"/>
  <c r="AO161"/>
  <c r="AO169"/>
  <c r="AO177"/>
  <c r="AO185"/>
  <c r="AO193"/>
  <c r="AO201"/>
  <c r="AO209"/>
  <c r="AO217"/>
  <c r="AO225"/>
  <c r="AO233"/>
  <c r="AO249"/>
  <c r="AO108"/>
  <c r="AO12"/>
  <c r="AO20"/>
  <c r="AO30"/>
  <c r="AP30" s="1"/>
  <c r="AO38"/>
  <c r="AO50"/>
  <c r="AP50" s="1"/>
  <c r="AO58"/>
  <c r="AO66"/>
  <c r="AP66" s="1"/>
  <c r="AO74"/>
  <c r="AO82"/>
  <c r="AP82" s="1"/>
  <c r="AO90"/>
  <c r="AO100"/>
  <c r="AO110"/>
  <c r="AO118"/>
  <c r="AP118" s="1"/>
  <c r="AO126"/>
  <c r="AO134"/>
  <c r="AP134" s="1"/>
  <c r="AO142"/>
  <c r="AO150"/>
  <c r="AP150" s="1"/>
  <c r="AO158"/>
  <c r="AO166"/>
  <c r="AO174"/>
  <c r="AO182"/>
  <c r="AP182" s="1"/>
  <c r="AO190"/>
  <c r="AO198"/>
  <c r="AP198" s="1"/>
  <c r="AO206"/>
  <c r="AO214"/>
  <c r="AP214" s="1"/>
  <c r="AO222"/>
  <c r="AO230"/>
  <c r="AP230" s="1"/>
  <c r="AO238"/>
  <c r="AO246"/>
  <c r="AP246" s="1"/>
  <c r="AO247"/>
  <c r="AO11"/>
  <c r="AO19"/>
  <c r="AO27"/>
  <c r="AO35"/>
  <c r="AO43"/>
  <c r="AO51"/>
  <c r="AO59"/>
  <c r="AO67"/>
  <c r="AO75"/>
  <c r="AO83"/>
  <c r="AO91"/>
  <c r="AO101"/>
  <c r="AO111"/>
  <c r="AO119"/>
  <c r="AO127"/>
  <c r="AO135"/>
  <c r="AO143"/>
  <c r="AO151"/>
  <c r="AO159"/>
  <c r="AO167"/>
  <c r="AO175"/>
  <c r="AO183"/>
  <c r="AO191"/>
  <c r="AO199"/>
  <c r="AO207"/>
  <c r="AO215"/>
  <c r="AO223"/>
  <c r="AO231"/>
  <c r="AO243"/>
  <c r="AG42"/>
  <c r="AH42"/>
  <c r="AG95"/>
  <c r="AH95"/>
  <c r="AH108"/>
  <c r="AG108"/>
  <c r="AG8"/>
  <c r="AH8"/>
  <c r="AG12"/>
  <c r="AH12"/>
  <c r="AG16"/>
  <c r="AH16"/>
  <c r="AG24"/>
  <c r="AH24"/>
  <c r="AG30"/>
  <c r="AH30"/>
  <c r="AG34"/>
  <c r="AH34"/>
  <c r="AG44"/>
  <c r="AH44"/>
  <c r="AG50"/>
  <c r="AH50"/>
  <c r="AG54"/>
  <c r="AH54"/>
  <c r="AG62"/>
  <c r="AH62"/>
  <c r="AG70"/>
  <c r="AH70"/>
  <c r="AG74"/>
  <c r="AH74"/>
  <c r="AG82"/>
  <c r="AH82"/>
  <c r="AG86"/>
  <c r="AH86"/>
  <c r="AG90"/>
  <c r="AH90"/>
  <c r="AH100"/>
  <c r="AG100"/>
  <c r="AH110"/>
  <c r="AG110"/>
  <c r="AH118"/>
  <c r="AG118"/>
  <c r="AG28"/>
  <c r="AH28"/>
  <c r="AH5"/>
  <c r="AG5"/>
  <c r="AG48"/>
  <c r="AH48"/>
  <c r="AG107"/>
  <c r="AH107"/>
  <c r="AG6"/>
  <c r="AH6"/>
  <c r="AG10"/>
  <c r="AH10"/>
  <c r="AG14"/>
  <c r="AH14"/>
  <c r="AG18"/>
  <c r="AH18"/>
  <c r="AG22"/>
  <c r="AH22"/>
  <c r="AG26"/>
  <c r="AH26"/>
  <c r="AG32"/>
  <c r="AH32"/>
  <c r="AG36"/>
  <c r="AH36"/>
  <c r="AG40"/>
  <c r="AH40"/>
  <c r="AG46"/>
  <c r="AH46"/>
  <c r="AG52"/>
  <c r="AH52"/>
  <c r="AG56"/>
  <c r="AH56"/>
  <c r="AG60"/>
  <c r="AH60"/>
  <c r="AG64"/>
  <c r="AH64"/>
  <c r="AG68"/>
  <c r="AH68"/>
  <c r="AG72"/>
  <c r="AH72"/>
  <c r="AG76"/>
  <c r="AH76"/>
  <c r="AG80"/>
  <c r="AH80"/>
  <c r="AG84"/>
  <c r="AH84"/>
  <c r="AG88"/>
  <c r="AH88"/>
  <c r="AG92"/>
  <c r="AH92"/>
  <c r="AH98"/>
  <c r="AG98"/>
  <c r="AH102"/>
  <c r="AG102"/>
  <c r="AH106"/>
  <c r="AG106"/>
  <c r="AH112"/>
  <c r="AG112"/>
  <c r="AH116"/>
  <c r="AG116"/>
  <c r="AG120"/>
  <c r="AH120"/>
  <c r="AG124"/>
  <c r="AH124"/>
  <c r="AG128"/>
  <c r="AH128"/>
  <c r="AG132"/>
  <c r="AH132"/>
  <c r="AG136"/>
  <c r="AH136"/>
  <c r="AG140"/>
  <c r="AH140"/>
  <c r="AG144"/>
  <c r="AH144"/>
  <c r="AG148"/>
  <c r="AH148"/>
  <c r="AG152"/>
  <c r="AH152"/>
  <c r="AG156"/>
  <c r="AH156"/>
  <c r="AG160"/>
  <c r="AH160"/>
  <c r="AG164"/>
  <c r="AH164"/>
  <c r="AG168"/>
  <c r="AH168"/>
  <c r="AG172"/>
  <c r="AH172"/>
  <c r="AG176"/>
  <c r="AH176"/>
  <c r="AG180"/>
  <c r="AH180"/>
  <c r="AG184"/>
  <c r="AH184"/>
  <c r="AG188"/>
  <c r="AH188"/>
  <c r="AG192"/>
  <c r="AH192"/>
  <c r="AG196"/>
  <c r="AH196"/>
  <c r="AG200"/>
  <c r="AH200"/>
  <c r="AG204"/>
  <c r="AH204"/>
  <c r="AG208"/>
  <c r="AH208"/>
  <c r="AG212"/>
  <c r="AH212"/>
  <c r="AG216"/>
  <c r="AH216"/>
  <c r="AG220"/>
  <c r="AH220"/>
  <c r="AG224"/>
  <c r="AH224"/>
  <c r="AG228"/>
  <c r="AH228"/>
  <c r="AG232"/>
  <c r="AH232"/>
  <c r="AG236"/>
  <c r="AH236"/>
  <c r="AG240"/>
  <c r="AH240"/>
  <c r="AG244"/>
  <c r="AH244"/>
  <c r="AG248"/>
  <c r="AH248"/>
  <c r="AG252"/>
  <c r="AH252"/>
  <c r="AH237"/>
  <c r="AG237"/>
  <c r="AH245"/>
  <c r="AG245"/>
  <c r="AI245" s="1"/>
  <c r="AH251"/>
  <c r="AG251"/>
  <c r="AH9"/>
  <c r="AG9"/>
  <c r="AH13"/>
  <c r="AG13"/>
  <c r="AH17"/>
  <c r="AG17"/>
  <c r="AH21"/>
  <c r="AG21"/>
  <c r="AH25"/>
  <c r="AG25"/>
  <c r="AH29"/>
  <c r="AG29"/>
  <c r="AH33"/>
  <c r="AG33"/>
  <c r="AH37"/>
  <c r="AG37"/>
  <c r="AH41"/>
  <c r="AG41"/>
  <c r="AH45"/>
  <c r="AG45"/>
  <c r="AH49"/>
  <c r="AG49"/>
  <c r="AH53"/>
  <c r="AG53"/>
  <c r="AH57"/>
  <c r="AG57"/>
  <c r="AH61"/>
  <c r="AG61"/>
  <c r="AH65"/>
  <c r="AG65"/>
  <c r="AH69"/>
  <c r="AG69"/>
  <c r="AH73"/>
  <c r="AG73"/>
  <c r="AH77"/>
  <c r="AG77"/>
  <c r="AH81"/>
  <c r="AG81"/>
  <c r="AH85"/>
  <c r="AG85"/>
  <c r="AH89"/>
  <c r="AG89"/>
  <c r="AH93"/>
  <c r="AG93"/>
  <c r="AG99"/>
  <c r="AH99"/>
  <c r="AG103"/>
  <c r="AH103"/>
  <c r="AG109"/>
  <c r="AH109"/>
  <c r="AG113"/>
  <c r="AH113"/>
  <c r="AG117"/>
  <c r="AH117"/>
  <c r="AH121"/>
  <c r="AG121"/>
  <c r="AH125"/>
  <c r="AG125"/>
  <c r="AH129"/>
  <c r="AG129"/>
  <c r="AH133"/>
  <c r="AG133"/>
  <c r="AH137"/>
  <c r="AG137"/>
  <c r="AH141"/>
  <c r="AG141"/>
  <c r="AH145"/>
  <c r="AG145"/>
  <c r="AH149"/>
  <c r="AG149"/>
  <c r="AH153"/>
  <c r="AG153"/>
  <c r="AH157"/>
  <c r="AG157"/>
  <c r="AH161"/>
  <c r="AG161"/>
  <c r="AH165"/>
  <c r="AG165"/>
  <c r="AH169"/>
  <c r="AG169"/>
  <c r="AH173"/>
  <c r="AG173"/>
  <c r="AH177"/>
  <c r="AG177"/>
  <c r="AH181"/>
  <c r="AG181"/>
  <c r="AH185"/>
  <c r="AG185"/>
  <c r="AH189"/>
  <c r="AG189"/>
  <c r="AH193"/>
  <c r="AG193"/>
  <c r="AH197"/>
  <c r="AG197"/>
  <c r="AH201"/>
  <c r="AG201"/>
  <c r="AH205"/>
  <c r="AG205"/>
  <c r="AH209"/>
  <c r="AG209"/>
  <c r="AH213"/>
  <c r="AG213"/>
  <c r="AH217"/>
  <c r="AG217"/>
  <c r="AH221"/>
  <c r="AG221"/>
  <c r="AH225"/>
  <c r="AG225"/>
  <c r="AH229"/>
  <c r="AG229"/>
  <c r="AH233"/>
  <c r="AG233"/>
  <c r="AH239"/>
  <c r="AG239"/>
  <c r="AH249"/>
  <c r="AG249"/>
  <c r="AH94"/>
  <c r="AG94"/>
  <c r="AG20"/>
  <c r="AH20"/>
  <c r="AG38"/>
  <c r="AH38"/>
  <c r="AG58"/>
  <c r="AH58"/>
  <c r="AG66"/>
  <c r="AH66"/>
  <c r="AG78"/>
  <c r="AH78"/>
  <c r="AH96"/>
  <c r="AG96"/>
  <c r="AH104"/>
  <c r="AG104"/>
  <c r="AH114"/>
  <c r="AG114"/>
  <c r="AG122"/>
  <c r="AH122"/>
  <c r="AG126"/>
  <c r="AH126"/>
  <c r="AG130"/>
  <c r="AH130"/>
  <c r="AG134"/>
  <c r="AH134"/>
  <c r="AG138"/>
  <c r="AH138"/>
  <c r="AG142"/>
  <c r="AH142"/>
  <c r="AG146"/>
  <c r="AH146"/>
  <c r="AG150"/>
  <c r="AH150"/>
  <c r="AG154"/>
  <c r="AH154"/>
  <c r="AG158"/>
  <c r="AH158"/>
  <c r="AG162"/>
  <c r="AH162"/>
  <c r="AG166"/>
  <c r="AH166"/>
  <c r="AG170"/>
  <c r="AH170"/>
  <c r="AG174"/>
  <c r="AH174"/>
  <c r="AG178"/>
  <c r="AH178"/>
  <c r="AG182"/>
  <c r="AH182"/>
  <c r="AG186"/>
  <c r="AH186"/>
  <c r="AG190"/>
  <c r="AH190"/>
  <c r="AG194"/>
  <c r="AH194"/>
  <c r="AG198"/>
  <c r="AH198"/>
  <c r="AG202"/>
  <c r="AH202"/>
  <c r="AG206"/>
  <c r="AH206"/>
  <c r="AG210"/>
  <c r="AH210"/>
  <c r="AG214"/>
  <c r="AH214"/>
  <c r="AG218"/>
  <c r="AH218"/>
  <c r="AG222"/>
  <c r="AH222"/>
  <c r="AG226"/>
  <c r="AH226"/>
  <c r="AG230"/>
  <c r="AH230"/>
  <c r="AG234"/>
  <c r="AH234"/>
  <c r="AG238"/>
  <c r="AH238"/>
  <c r="AG242"/>
  <c r="AH242"/>
  <c r="AG246"/>
  <c r="AH246"/>
  <c r="AG250"/>
  <c r="AH250"/>
  <c r="AH241"/>
  <c r="AG241"/>
  <c r="AH247"/>
  <c r="AG247"/>
  <c r="AH7"/>
  <c r="AG7"/>
  <c r="AH11"/>
  <c r="AG11"/>
  <c r="AH15"/>
  <c r="AG15"/>
  <c r="AH19"/>
  <c r="AG19"/>
  <c r="AH23"/>
  <c r="AG23"/>
  <c r="AH27"/>
  <c r="AG27"/>
  <c r="AH31"/>
  <c r="AG31"/>
  <c r="AH35"/>
  <c r="AG35"/>
  <c r="AH39"/>
  <c r="AG39"/>
  <c r="AH43"/>
  <c r="AG43"/>
  <c r="AH47"/>
  <c r="AG47"/>
  <c r="AH51"/>
  <c r="AG51"/>
  <c r="AH55"/>
  <c r="AG55"/>
  <c r="AH59"/>
  <c r="AG59"/>
  <c r="AH63"/>
  <c r="AG63"/>
  <c r="AH67"/>
  <c r="AG67"/>
  <c r="AH71"/>
  <c r="AG71"/>
  <c r="AH75"/>
  <c r="AG75"/>
  <c r="AH79"/>
  <c r="AG79"/>
  <c r="AH83"/>
  <c r="AG83"/>
  <c r="AH87"/>
  <c r="AG87"/>
  <c r="AH91"/>
  <c r="AG91"/>
  <c r="AG97"/>
  <c r="AH97"/>
  <c r="AG101"/>
  <c r="AH101"/>
  <c r="AG105"/>
  <c r="AH105"/>
  <c r="AG111"/>
  <c r="AH111"/>
  <c r="AG115"/>
  <c r="AH115"/>
  <c r="AG119"/>
  <c r="AH119"/>
  <c r="AH123"/>
  <c r="AG123"/>
  <c r="AH127"/>
  <c r="AG127"/>
  <c r="AH131"/>
  <c r="AG131"/>
  <c r="AH135"/>
  <c r="AG135"/>
  <c r="AH139"/>
  <c r="AG139"/>
  <c r="AH143"/>
  <c r="AG143"/>
  <c r="AH147"/>
  <c r="AG147"/>
  <c r="AH151"/>
  <c r="AG151"/>
  <c r="AH155"/>
  <c r="AG155"/>
  <c r="AH159"/>
  <c r="AG159"/>
  <c r="AH163"/>
  <c r="AG163"/>
  <c r="AH167"/>
  <c r="AG167"/>
  <c r="AH171"/>
  <c r="AG171"/>
  <c r="AH175"/>
  <c r="AG175"/>
  <c r="AH179"/>
  <c r="AG179"/>
  <c r="AH183"/>
  <c r="AG183"/>
  <c r="AH187"/>
  <c r="AG187"/>
  <c r="AH191"/>
  <c r="AG191"/>
  <c r="AH195"/>
  <c r="AG195"/>
  <c r="AH199"/>
  <c r="AG199"/>
  <c r="AH203"/>
  <c r="AG203"/>
  <c r="AH207"/>
  <c r="AG207"/>
  <c r="AH211"/>
  <c r="AG211"/>
  <c r="AH215"/>
  <c r="AG215"/>
  <c r="AH219"/>
  <c r="AG219"/>
  <c r="AH223"/>
  <c r="AG223"/>
  <c r="AH227"/>
  <c r="AG227"/>
  <c r="AH231"/>
  <c r="AG231"/>
  <c r="AH235"/>
  <c r="AG235"/>
  <c r="AH243"/>
  <c r="AG243"/>
  <c r="AH253"/>
  <c r="AG253"/>
  <c r="AA28"/>
  <c r="T28"/>
  <c r="Z28"/>
  <c r="S28"/>
  <c r="AA5"/>
  <c r="T5"/>
  <c r="Z5"/>
  <c r="S5"/>
  <c r="AA48"/>
  <c r="T48"/>
  <c r="Z48"/>
  <c r="S48"/>
  <c r="AA107"/>
  <c r="T107"/>
  <c r="Z107"/>
  <c r="S107"/>
  <c r="AA6"/>
  <c r="T6"/>
  <c r="Z6"/>
  <c r="S6"/>
  <c r="AA10"/>
  <c r="T10"/>
  <c r="Z10"/>
  <c r="S10"/>
  <c r="AA14"/>
  <c r="T14"/>
  <c r="Z14"/>
  <c r="S14"/>
  <c r="AA18"/>
  <c r="T18"/>
  <c r="Z18"/>
  <c r="S18"/>
  <c r="AA22"/>
  <c r="T22"/>
  <c r="Z22"/>
  <c r="S22"/>
  <c r="AA26"/>
  <c r="T26"/>
  <c r="Z26"/>
  <c r="S26"/>
  <c r="AA32"/>
  <c r="T32"/>
  <c r="Z32"/>
  <c r="S32"/>
  <c r="AA36"/>
  <c r="T36"/>
  <c r="Z36"/>
  <c r="S36"/>
  <c r="AA40"/>
  <c r="T40"/>
  <c r="Z40"/>
  <c r="S40"/>
  <c r="AA46"/>
  <c r="T46"/>
  <c r="Z46"/>
  <c r="S46"/>
  <c r="AA52"/>
  <c r="T52"/>
  <c r="Z52"/>
  <c r="S52"/>
  <c r="AA56"/>
  <c r="T56"/>
  <c r="Z56"/>
  <c r="S56"/>
  <c r="AA60"/>
  <c r="T60"/>
  <c r="Z60"/>
  <c r="S60"/>
  <c r="AA64"/>
  <c r="T64"/>
  <c r="Z64"/>
  <c r="S64"/>
  <c r="AA68"/>
  <c r="T68"/>
  <c r="Z68"/>
  <c r="S68"/>
  <c r="AA72"/>
  <c r="T72"/>
  <c r="Z72"/>
  <c r="S72"/>
  <c r="AA76"/>
  <c r="T76"/>
  <c r="Z76"/>
  <c r="S76"/>
  <c r="AA80"/>
  <c r="T80"/>
  <c r="Z80"/>
  <c r="S80"/>
  <c r="AA84"/>
  <c r="T84"/>
  <c r="Z84"/>
  <c r="S84"/>
  <c r="AA88"/>
  <c r="T88"/>
  <c r="Z88"/>
  <c r="S88"/>
  <c r="AA92"/>
  <c r="T92"/>
  <c r="Z92"/>
  <c r="S92"/>
  <c r="AA98"/>
  <c r="T98"/>
  <c r="Z98"/>
  <c r="S98"/>
  <c r="AA102"/>
  <c r="T102"/>
  <c r="Z102"/>
  <c r="S102"/>
  <c r="AA106"/>
  <c r="T106"/>
  <c r="Z106"/>
  <c r="S106"/>
  <c r="AA112"/>
  <c r="T112"/>
  <c r="Z112"/>
  <c r="S112"/>
  <c r="AA116"/>
  <c r="T116"/>
  <c r="Z116"/>
  <c r="S116"/>
  <c r="AA120"/>
  <c r="T120"/>
  <c r="Z120"/>
  <c r="S120"/>
  <c r="AA124"/>
  <c r="T124"/>
  <c r="Z124"/>
  <c r="S124"/>
  <c r="AA128"/>
  <c r="T128"/>
  <c r="Z128"/>
  <c r="S128"/>
  <c r="AA132"/>
  <c r="T132"/>
  <c r="Z132"/>
  <c r="S132"/>
  <c r="AA136"/>
  <c r="T136"/>
  <c r="Z136"/>
  <c r="S136"/>
  <c r="AA140"/>
  <c r="T140"/>
  <c r="Z140"/>
  <c r="S140"/>
  <c r="AA144"/>
  <c r="T144"/>
  <c r="Z144"/>
  <c r="S144"/>
  <c r="AA148"/>
  <c r="T148"/>
  <c r="Z148"/>
  <c r="S148"/>
  <c r="AA152"/>
  <c r="T152"/>
  <c r="Z152"/>
  <c r="S152"/>
  <c r="AA156"/>
  <c r="T156"/>
  <c r="Z156"/>
  <c r="S156"/>
  <c r="AA160"/>
  <c r="T160"/>
  <c r="Z160"/>
  <c r="S160"/>
  <c r="AA164"/>
  <c r="T164"/>
  <c r="Z164"/>
  <c r="S164"/>
  <c r="AA168"/>
  <c r="T168"/>
  <c r="Z168"/>
  <c r="S168"/>
  <c r="AA172"/>
  <c r="T172"/>
  <c r="Z172"/>
  <c r="S172"/>
  <c r="AA176"/>
  <c r="T176"/>
  <c r="Z176"/>
  <c r="S176"/>
  <c r="AA180"/>
  <c r="T180"/>
  <c r="Z180"/>
  <c r="S180"/>
  <c r="AA184"/>
  <c r="T184"/>
  <c r="Z184"/>
  <c r="S184"/>
  <c r="AA188"/>
  <c r="T188"/>
  <c r="Z188"/>
  <c r="S188"/>
  <c r="AA192"/>
  <c r="T192"/>
  <c r="Z192"/>
  <c r="S192"/>
  <c r="AA196"/>
  <c r="T196"/>
  <c r="Z196"/>
  <c r="S196"/>
  <c r="AA200"/>
  <c r="T200"/>
  <c r="Z200"/>
  <c r="S200"/>
  <c r="AA204"/>
  <c r="T204"/>
  <c r="Z204"/>
  <c r="S204"/>
  <c r="AA208"/>
  <c r="T208"/>
  <c r="Z208"/>
  <c r="S208"/>
  <c r="AA212"/>
  <c r="T212"/>
  <c r="Z212"/>
  <c r="S212"/>
  <c r="AA216"/>
  <c r="T216"/>
  <c r="Z216"/>
  <c r="S216"/>
  <c r="AA220"/>
  <c r="T220"/>
  <c r="Z220"/>
  <c r="S220"/>
  <c r="AA224"/>
  <c r="T224"/>
  <c r="Z224"/>
  <c r="S224"/>
  <c r="AA228"/>
  <c r="T228"/>
  <c r="Z228"/>
  <c r="S228"/>
  <c r="AA232"/>
  <c r="T232"/>
  <c r="Z232"/>
  <c r="S232"/>
  <c r="AA236"/>
  <c r="T236"/>
  <c r="Z236"/>
  <c r="S236"/>
  <c r="AA240"/>
  <c r="T240"/>
  <c r="Z240"/>
  <c r="S240"/>
  <c r="AA244"/>
  <c r="T244"/>
  <c r="Z244"/>
  <c r="S244"/>
  <c r="AA248"/>
  <c r="T248"/>
  <c r="Z248"/>
  <c r="S248"/>
  <c r="AA252"/>
  <c r="T252"/>
  <c r="Z252"/>
  <c r="S252"/>
  <c r="AA237"/>
  <c r="T237"/>
  <c r="Z237"/>
  <c r="S237"/>
  <c r="AA245"/>
  <c r="T245"/>
  <c r="Z245"/>
  <c r="S245"/>
  <c r="AA251"/>
  <c r="T251"/>
  <c r="Z251"/>
  <c r="S251"/>
  <c r="AA9"/>
  <c r="T9"/>
  <c r="Z9"/>
  <c r="S9"/>
  <c r="AA13"/>
  <c r="T13"/>
  <c r="Z13"/>
  <c r="S13"/>
  <c r="AA17"/>
  <c r="T17"/>
  <c r="Z17"/>
  <c r="S17"/>
  <c r="AA21"/>
  <c r="T21"/>
  <c r="Z21"/>
  <c r="S21"/>
  <c r="AA25"/>
  <c r="T25"/>
  <c r="Z25"/>
  <c r="S25"/>
  <c r="AA29"/>
  <c r="T29"/>
  <c r="Z29"/>
  <c r="S29"/>
  <c r="AA33"/>
  <c r="T33"/>
  <c r="Z33"/>
  <c r="S33"/>
  <c r="AA37"/>
  <c r="T37"/>
  <c r="Z37"/>
  <c r="S37"/>
  <c r="AA41"/>
  <c r="T41"/>
  <c r="Z41"/>
  <c r="S41"/>
  <c r="AA45"/>
  <c r="T45"/>
  <c r="Z45"/>
  <c r="S45"/>
  <c r="AA49"/>
  <c r="T49"/>
  <c r="Z49"/>
  <c r="S49"/>
  <c r="AA53"/>
  <c r="T53"/>
  <c r="Z53"/>
  <c r="S53"/>
  <c r="AA57"/>
  <c r="T57"/>
  <c r="Z57"/>
  <c r="S57"/>
  <c r="AA61"/>
  <c r="T61"/>
  <c r="Z61"/>
  <c r="S61"/>
  <c r="AA65"/>
  <c r="T65"/>
  <c r="Z65"/>
  <c r="S65"/>
  <c r="AA69"/>
  <c r="T69"/>
  <c r="Z69"/>
  <c r="S69"/>
  <c r="AA73"/>
  <c r="T73"/>
  <c r="Z73"/>
  <c r="S73"/>
  <c r="AA77"/>
  <c r="T77"/>
  <c r="Z77"/>
  <c r="S77"/>
  <c r="AA81"/>
  <c r="T81"/>
  <c r="Z81"/>
  <c r="S81"/>
  <c r="AA85"/>
  <c r="T85"/>
  <c r="Z85"/>
  <c r="S85"/>
  <c r="AA89"/>
  <c r="T89"/>
  <c r="Z89"/>
  <c r="S89"/>
  <c r="AA93"/>
  <c r="T93"/>
  <c r="Z93"/>
  <c r="S93"/>
  <c r="AA99"/>
  <c r="T99"/>
  <c r="Z99"/>
  <c r="S99"/>
  <c r="AA103"/>
  <c r="T103"/>
  <c r="Z103"/>
  <c r="S103"/>
  <c r="AA109"/>
  <c r="T109"/>
  <c r="Z109"/>
  <c r="S109"/>
  <c r="AA113"/>
  <c r="T113"/>
  <c r="Z113"/>
  <c r="S113"/>
  <c r="AA117"/>
  <c r="T117"/>
  <c r="Z117"/>
  <c r="S117"/>
  <c r="AA121"/>
  <c r="T121"/>
  <c r="Z121"/>
  <c r="S121"/>
  <c r="AA125"/>
  <c r="T125"/>
  <c r="Z125"/>
  <c r="S125"/>
  <c r="AA129"/>
  <c r="T129"/>
  <c r="Z129"/>
  <c r="S129"/>
  <c r="AA133"/>
  <c r="T133"/>
  <c r="Z133"/>
  <c r="S133"/>
  <c r="AA137"/>
  <c r="T137"/>
  <c r="Z137"/>
  <c r="S137"/>
  <c r="AA141"/>
  <c r="T141"/>
  <c r="Z141"/>
  <c r="S141"/>
  <c r="AA145"/>
  <c r="T145"/>
  <c r="Z145"/>
  <c r="S145"/>
  <c r="AA149"/>
  <c r="T149"/>
  <c r="Z149"/>
  <c r="S149"/>
  <c r="AA153"/>
  <c r="T153"/>
  <c r="Z153"/>
  <c r="S153"/>
  <c r="AA157"/>
  <c r="T157"/>
  <c r="Z157"/>
  <c r="S157"/>
  <c r="AA161"/>
  <c r="T161"/>
  <c r="Z161"/>
  <c r="S161"/>
  <c r="AA165"/>
  <c r="T165"/>
  <c r="Z165"/>
  <c r="S165"/>
  <c r="AA169"/>
  <c r="T169"/>
  <c r="Z169"/>
  <c r="S169"/>
  <c r="AA173"/>
  <c r="T173"/>
  <c r="Z173"/>
  <c r="S173"/>
  <c r="AA177"/>
  <c r="T177"/>
  <c r="Z177"/>
  <c r="S177"/>
  <c r="AA181"/>
  <c r="T181"/>
  <c r="Z181"/>
  <c r="S181"/>
  <c r="AA185"/>
  <c r="T185"/>
  <c r="Z185"/>
  <c r="S185"/>
  <c r="AA189"/>
  <c r="T189"/>
  <c r="Z189"/>
  <c r="S189"/>
  <c r="AA193"/>
  <c r="T193"/>
  <c r="Z193"/>
  <c r="S193"/>
  <c r="AA197"/>
  <c r="T197"/>
  <c r="Z197"/>
  <c r="S197"/>
  <c r="AA201"/>
  <c r="T201"/>
  <c r="Z201"/>
  <c r="S201"/>
  <c r="AA205"/>
  <c r="T205"/>
  <c r="Z205"/>
  <c r="S205"/>
  <c r="AA209"/>
  <c r="T209"/>
  <c r="Z209"/>
  <c r="S209"/>
  <c r="AA213"/>
  <c r="T213"/>
  <c r="Z213"/>
  <c r="S213"/>
  <c r="AA217"/>
  <c r="T217"/>
  <c r="Z217"/>
  <c r="S217"/>
  <c r="AA221"/>
  <c r="T221"/>
  <c r="Z221"/>
  <c r="S221"/>
  <c r="AA225"/>
  <c r="T225"/>
  <c r="Z225"/>
  <c r="S225"/>
  <c r="AA229"/>
  <c r="T229"/>
  <c r="Z229"/>
  <c r="S229"/>
  <c r="AA233"/>
  <c r="T233"/>
  <c r="Z233"/>
  <c r="S233"/>
  <c r="AA239"/>
  <c r="T239"/>
  <c r="Z239"/>
  <c r="S239"/>
  <c r="AA249"/>
  <c r="T249"/>
  <c r="Z249"/>
  <c r="S249"/>
  <c r="AA42"/>
  <c r="T42"/>
  <c r="Z42"/>
  <c r="S42"/>
  <c r="AA94"/>
  <c r="T94"/>
  <c r="Z94"/>
  <c r="S94"/>
  <c r="AA95"/>
  <c r="T95"/>
  <c r="Z95"/>
  <c r="S95"/>
  <c r="AA108"/>
  <c r="T108"/>
  <c r="Z108"/>
  <c r="S108"/>
  <c r="AA8"/>
  <c r="T8"/>
  <c r="Z8"/>
  <c r="S8"/>
  <c r="AA12"/>
  <c r="T12"/>
  <c r="Z12"/>
  <c r="S12"/>
  <c r="AA16"/>
  <c r="T16"/>
  <c r="Z16"/>
  <c r="S16"/>
  <c r="AA20"/>
  <c r="T20"/>
  <c r="Z20"/>
  <c r="S20"/>
  <c r="AA24"/>
  <c r="T24"/>
  <c r="Z24"/>
  <c r="S24"/>
  <c r="AA30"/>
  <c r="T30"/>
  <c r="Z30"/>
  <c r="S30"/>
  <c r="AA34"/>
  <c r="T34"/>
  <c r="Z34"/>
  <c r="S34"/>
  <c r="AA38"/>
  <c r="T38"/>
  <c r="Z38"/>
  <c r="S38"/>
  <c r="AA44"/>
  <c r="T44"/>
  <c r="Z44"/>
  <c r="S44"/>
  <c r="AA50"/>
  <c r="T50"/>
  <c r="Z50"/>
  <c r="S50"/>
  <c r="AA54"/>
  <c r="T54"/>
  <c r="Z54"/>
  <c r="S54"/>
  <c r="AA58"/>
  <c r="T58"/>
  <c r="Z58"/>
  <c r="S58"/>
  <c r="AA62"/>
  <c r="T62"/>
  <c r="Z62"/>
  <c r="S62"/>
  <c r="AA66"/>
  <c r="T66"/>
  <c r="Z66"/>
  <c r="S66"/>
  <c r="AA70"/>
  <c r="T70"/>
  <c r="Z70"/>
  <c r="S70"/>
  <c r="AA74"/>
  <c r="T74"/>
  <c r="Z74"/>
  <c r="S74"/>
  <c r="AA78"/>
  <c r="T78"/>
  <c r="Z78"/>
  <c r="S78"/>
  <c r="AA82"/>
  <c r="T82"/>
  <c r="Z82"/>
  <c r="S82"/>
  <c r="AA86"/>
  <c r="T86"/>
  <c r="Z86"/>
  <c r="S86"/>
  <c r="AA90"/>
  <c r="T90"/>
  <c r="Z90"/>
  <c r="S90"/>
  <c r="AA96"/>
  <c r="T96"/>
  <c r="Z96"/>
  <c r="S96"/>
  <c r="AA100"/>
  <c r="T100"/>
  <c r="Z100"/>
  <c r="S100"/>
  <c r="AA104"/>
  <c r="T104"/>
  <c r="Z104"/>
  <c r="S104"/>
  <c r="AA110"/>
  <c r="T110"/>
  <c r="Z110"/>
  <c r="S110"/>
  <c r="AA114"/>
  <c r="T114"/>
  <c r="Z114"/>
  <c r="S114"/>
  <c r="AA118"/>
  <c r="T118"/>
  <c r="Z118"/>
  <c r="S118"/>
  <c r="AA122"/>
  <c r="T122"/>
  <c r="Z122"/>
  <c r="S122"/>
  <c r="AA126"/>
  <c r="T126"/>
  <c r="Z126"/>
  <c r="S126"/>
  <c r="AA130"/>
  <c r="T130"/>
  <c r="Z130"/>
  <c r="S130"/>
  <c r="AA134"/>
  <c r="T134"/>
  <c r="Z134"/>
  <c r="S134"/>
  <c r="AA138"/>
  <c r="T138"/>
  <c r="Z138"/>
  <c r="S138"/>
  <c r="AA142"/>
  <c r="T142"/>
  <c r="Z142"/>
  <c r="S142"/>
  <c r="AA146"/>
  <c r="T146"/>
  <c r="Z146"/>
  <c r="S146"/>
  <c r="AA150"/>
  <c r="T150"/>
  <c r="Z150"/>
  <c r="S150"/>
  <c r="AA154"/>
  <c r="T154"/>
  <c r="Z154"/>
  <c r="S154"/>
  <c r="AA158"/>
  <c r="T158"/>
  <c r="Z158"/>
  <c r="S158"/>
  <c r="AA162"/>
  <c r="T162"/>
  <c r="Z162"/>
  <c r="S162"/>
  <c r="AA166"/>
  <c r="T166"/>
  <c r="Z166"/>
  <c r="S166"/>
  <c r="AA170"/>
  <c r="T170"/>
  <c r="Z170"/>
  <c r="S170"/>
  <c r="AA174"/>
  <c r="T174"/>
  <c r="Z174"/>
  <c r="S174"/>
  <c r="AA178"/>
  <c r="T178"/>
  <c r="Z178"/>
  <c r="S178"/>
  <c r="AA182"/>
  <c r="T182"/>
  <c r="Z182"/>
  <c r="S182"/>
  <c r="AA186"/>
  <c r="T186"/>
  <c r="Z186"/>
  <c r="S186"/>
  <c r="AA190"/>
  <c r="T190"/>
  <c r="Z190"/>
  <c r="S190"/>
  <c r="AA194"/>
  <c r="T194"/>
  <c r="Z194"/>
  <c r="S194"/>
  <c r="AA198"/>
  <c r="T198"/>
  <c r="Z198"/>
  <c r="S198"/>
  <c r="AA202"/>
  <c r="T202"/>
  <c r="Z202"/>
  <c r="S202"/>
  <c r="AA206"/>
  <c r="T206"/>
  <c r="Z206"/>
  <c r="S206"/>
  <c r="AA210"/>
  <c r="T210"/>
  <c r="Z210"/>
  <c r="S210"/>
  <c r="AA214"/>
  <c r="T214"/>
  <c r="Z214"/>
  <c r="S214"/>
  <c r="AA218"/>
  <c r="T218"/>
  <c r="Z218"/>
  <c r="S218"/>
  <c r="AA222"/>
  <c r="T222"/>
  <c r="Z222"/>
  <c r="S222"/>
  <c r="AA226"/>
  <c r="T226"/>
  <c r="Z226"/>
  <c r="S226"/>
  <c r="AA230"/>
  <c r="T230"/>
  <c r="Z230"/>
  <c r="S230"/>
  <c r="AA234"/>
  <c r="T234"/>
  <c r="Z234"/>
  <c r="S234"/>
  <c r="AA238"/>
  <c r="T238"/>
  <c r="Z238"/>
  <c r="S238"/>
  <c r="AA242"/>
  <c r="T242"/>
  <c r="Z242"/>
  <c r="S242"/>
  <c r="AA246"/>
  <c r="T246"/>
  <c r="Z246"/>
  <c r="S246"/>
  <c r="AA250"/>
  <c r="T250"/>
  <c r="Z250"/>
  <c r="S250"/>
  <c r="AA241"/>
  <c r="T241"/>
  <c r="Z241"/>
  <c r="S241"/>
  <c r="AA247"/>
  <c r="T247"/>
  <c r="Z247"/>
  <c r="S247"/>
  <c r="AA7"/>
  <c r="T7"/>
  <c r="Z7"/>
  <c r="S7"/>
  <c r="AA11"/>
  <c r="T11"/>
  <c r="Z11"/>
  <c r="S11"/>
  <c r="AA15"/>
  <c r="T15"/>
  <c r="Z15"/>
  <c r="S15"/>
  <c r="AA19"/>
  <c r="T19"/>
  <c r="Z19"/>
  <c r="S19"/>
  <c r="AA23"/>
  <c r="T23"/>
  <c r="Z23"/>
  <c r="S23"/>
  <c r="AA27"/>
  <c r="T27"/>
  <c r="Z27"/>
  <c r="S27"/>
  <c r="AA31"/>
  <c r="T31"/>
  <c r="Z31"/>
  <c r="S31"/>
  <c r="AA35"/>
  <c r="T35"/>
  <c r="Z35"/>
  <c r="S35"/>
  <c r="AA39"/>
  <c r="T39"/>
  <c r="Z39"/>
  <c r="S39"/>
  <c r="AA43"/>
  <c r="T43"/>
  <c r="Z43"/>
  <c r="S43"/>
  <c r="AA47"/>
  <c r="T47"/>
  <c r="Z47"/>
  <c r="S47"/>
  <c r="AA51"/>
  <c r="T51"/>
  <c r="Z51"/>
  <c r="S51"/>
  <c r="AA55"/>
  <c r="T55"/>
  <c r="Z55"/>
  <c r="S55"/>
  <c r="AA59"/>
  <c r="T59"/>
  <c r="Z59"/>
  <c r="S59"/>
  <c r="AA63"/>
  <c r="T63"/>
  <c r="Z63"/>
  <c r="S63"/>
  <c r="AA67"/>
  <c r="T67"/>
  <c r="Z67"/>
  <c r="S67"/>
  <c r="AA71"/>
  <c r="T71"/>
  <c r="Z71"/>
  <c r="S71"/>
  <c r="AA75"/>
  <c r="T75"/>
  <c r="Z75"/>
  <c r="S75"/>
  <c r="AA79"/>
  <c r="T79"/>
  <c r="Z79"/>
  <c r="S79"/>
  <c r="AA83"/>
  <c r="T83"/>
  <c r="Z83"/>
  <c r="S83"/>
  <c r="AA87"/>
  <c r="T87"/>
  <c r="Z87"/>
  <c r="S87"/>
  <c r="AA91"/>
  <c r="T91"/>
  <c r="Z91"/>
  <c r="S91"/>
  <c r="AA97"/>
  <c r="T97"/>
  <c r="Z97"/>
  <c r="S97"/>
  <c r="AA101"/>
  <c r="T101"/>
  <c r="Z101"/>
  <c r="S101"/>
  <c r="AA105"/>
  <c r="T105"/>
  <c r="Z105"/>
  <c r="S105"/>
  <c r="AA111"/>
  <c r="T111"/>
  <c r="Z111"/>
  <c r="S111"/>
  <c r="AA115"/>
  <c r="T115"/>
  <c r="Z115"/>
  <c r="S115"/>
  <c r="AA119"/>
  <c r="T119"/>
  <c r="Z119"/>
  <c r="S119"/>
  <c r="AA123"/>
  <c r="T123"/>
  <c r="Z123"/>
  <c r="S123"/>
  <c r="AA127"/>
  <c r="T127"/>
  <c r="Z127"/>
  <c r="S127"/>
  <c r="AA131"/>
  <c r="T131"/>
  <c r="Z131"/>
  <c r="S131"/>
  <c r="AA135"/>
  <c r="T135"/>
  <c r="Z135"/>
  <c r="S135"/>
  <c r="AA139"/>
  <c r="T139"/>
  <c r="Z139"/>
  <c r="S139"/>
  <c r="AA143"/>
  <c r="T143"/>
  <c r="Z143"/>
  <c r="S143"/>
  <c r="AA147"/>
  <c r="T147"/>
  <c r="Z147"/>
  <c r="S147"/>
  <c r="AA151"/>
  <c r="T151"/>
  <c r="Z151"/>
  <c r="S151"/>
  <c r="AA155"/>
  <c r="T155"/>
  <c r="Z155"/>
  <c r="S155"/>
  <c r="AA159"/>
  <c r="T159"/>
  <c r="Z159"/>
  <c r="S159"/>
  <c r="AA163"/>
  <c r="T163"/>
  <c r="Z163"/>
  <c r="S163"/>
  <c r="AA167"/>
  <c r="T167"/>
  <c r="Z167"/>
  <c r="S167"/>
  <c r="AA171"/>
  <c r="T171"/>
  <c r="Z171"/>
  <c r="S171"/>
  <c r="AA175"/>
  <c r="T175"/>
  <c r="Z175"/>
  <c r="S175"/>
  <c r="AA179"/>
  <c r="T179"/>
  <c r="Z179"/>
  <c r="S179"/>
  <c r="AA183"/>
  <c r="T183"/>
  <c r="Z183"/>
  <c r="S183"/>
  <c r="AA187"/>
  <c r="T187"/>
  <c r="Z187"/>
  <c r="S187"/>
  <c r="AA191"/>
  <c r="T191"/>
  <c r="Z191"/>
  <c r="S191"/>
  <c r="AA195"/>
  <c r="T195"/>
  <c r="Z195"/>
  <c r="S195"/>
  <c r="AA199"/>
  <c r="T199"/>
  <c r="Z199"/>
  <c r="S199"/>
  <c r="AA203"/>
  <c r="T203"/>
  <c r="Z203"/>
  <c r="S203"/>
  <c r="AA207"/>
  <c r="T207"/>
  <c r="Z207"/>
  <c r="S207"/>
  <c r="AA211"/>
  <c r="T211"/>
  <c r="Z211"/>
  <c r="S211"/>
  <c r="AA215"/>
  <c r="T215"/>
  <c r="Z215"/>
  <c r="S215"/>
  <c r="AA219"/>
  <c r="T219"/>
  <c r="Z219"/>
  <c r="S219"/>
  <c r="AA223"/>
  <c r="T223"/>
  <c r="Z223"/>
  <c r="S223"/>
  <c r="AA227"/>
  <c r="T227"/>
  <c r="Z227"/>
  <c r="S227"/>
  <c r="AA231"/>
  <c r="T231"/>
  <c r="Z231"/>
  <c r="S231"/>
  <c r="AA235"/>
  <c r="T235"/>
  <c r="Z235"/>
  <c r="S235"/>
  <c r="AA243"/>
  <c r="T243"/>
  <c r="Z243"/>
  <c r="S243"/>
  <c r="AA253"/>
  <c r="T253"/>
  <c r="Z253"/>
  <c r="S253"/>
  <c r="AI235" l="1"/>
  <c r="AI227"/>
  <c r="AI219"/>
  <c r="AI211"/>
  <c r="AI203"/>
  <c r="AI195"/>
  <c r="AI187"/>
  <c r="AI179"/>
  <c r="AI163"/>
  <c r="AI155"/>
  <c r="AI147"/>
  <c r="AI139"/>
  <c r="AI131"/>
  <c r="AI123"/>
  <c r="AI87"/>
  <c r="AI79"/>
  <c r="AI71"/>
  <c r="AI63"/>
  <c r="AI55"/>
  <c r="AI47"/>
  <c r="AI39"/>
  <c r="AI31"/>
  <c r="AI23"/>
  <c r="AI15"/>
  <c r="AI7"/>
  <c r="AI241"/>
  <c r="AI104"/>
  <c r="AI239"/>
  <c r="AI229"/>
  <c r="AI221"/>
  <c r="AI213"/>
  <c r="AI205"/>
  <c r="AI197"/>
  <c r="AI189"/>
  <c r="AI181"/>
  <c r="AI165"/>
  <c r="AI157"/>
  <c r="AI149"/>
  <c r="AI141"/>
  <c r="AI133"/>
  <c r="AI125"/>
  <c r="AI89"/>
  <c r="AI81"/>
  <c r="AI73"/>
  <c r="AI65"/>
  <c r="AI57"/>
  <c r="AI49"/>
  <c r="AI41"/>
  <c r="AI33"/>
  <c r="AI25"/>
  <c r="AI17"/>
  <c r="AI9"/>
  <c r="AI116"/>
  <c r="AI106"/>
  <c r="AI98"/>
  <c r="AI118"/>
  <c r="AI100"/>
  <c r="AI253"/>
  <c r="AI171"/>
  <c r="AP166"/>
  <c r="AI173"/>
  <c r="U72"/>
  <c r="U124"/>
  <c r="U182"/>
  <c r="AB182" s="1"/>
  <c r="U230"/>
  <c r="U202"/>
  <c r="U38"/>
  <c r="AI5"/>
  <c r="AL5" s="1"/>
  <c r="U188"/>
  <c r="U73"/>
  <c r="U92"/>
  <c r="U76"/>
  <c r="U56"/>
  <c r="U36"/>
  <c r="U22"/>
  <c r="AB22" s="1"/>
  <c r="U10"/>
  <c r="U6"/>
  <c r="U236"/>
  <c r="U200"/>
  <c r="U235"/>
  <c r="U160"/>
  <c r="U144"/>
  <c r="AB144" s="1"/>
  <c r="U128"/>
  <c r="U84"/>
  <c r="U191"/>
  <c r="U86"/>
  <c r="U117"/>
  <c r="U184"/>
  <c r="U211"/>
  <c r="U195"/>
  <c r="U187"/>
  <c r="U179"/>
  <c r="U163"/>
  <c r="U115"/>
  <c r="U105"/>
  <c r="U91"/>
  <c r="U83"/>
  <c r="U75"/>
  <c r="U67"/>
  <c r="U59"/>
  <c r="U51"/>
  <c r="U43"/>
  <c r="U35"/>
  <c r="U11"/>
  <c r="U222"/>
  <c r="U214"/>
  <c r="U190"/>
  <c r="U158"/>
  <c r="U142"/>
  <c r="U134"/>
  <c r="U110"/>
  <c r="U100"/>
  <c r="U90"/>
  <c r="U82"/>
  <c r="U58"/>
  <c r="U30"/>
  <c r="AB30" s="1"/>
  <c r="U12"/>
  <c r="U108"/>
  <c r="U239"/>
  <c r="U229"/>
  <c r="U173"/>
  <c r="U165"/>
  <c r="U141"/>
  <c r="U89"/>
  <c r="U41"/>
  <c r="U25"/>
  <c r="U17"/>
  <c r="AB17" s="1"/>
  <c r="U252"/>
  <c r="U228"/>
  <c r="U204"/>
  <c r="U98"/>
  <c r="U64"/>
  <c r="U46"/>
  <c r="AB46" s="1"/>
  <c r="U14"/>
  <c r="U223"/>
  <c r="U215"/>
  <c r="U199"/>
  <c r="U175"/>
  <c r="U167"/>
  <c r="U151"/>
  <c r="U135"/>
  <c r="U127"/>
  <c r="U97"/>
  <c r="U71"/>
  <c r="U23"/>
  <c r="U241"/>
  <c r="U250"/>
  <c r="U226"/>
  <c r="U194"/>
  <c r="U178"/>
  <c r="U170"/>
  <c r="U154"/>
  <c r="U138"/>
  <c r="U130"/>
  <c r="U122"/>
  <c r="U104"/>
  <c r="U70"/>
  <c r="U62"/>
  <c r="U16"/>
  <c r="U169"/>
  <c r="U153"/>
  <c r="U145"/>
  <c r="U121"/>
  <c r="U113"/>
  <c r="U69"/>
  <c r="U61"/>
  <c r="U53"/>
  <c r="U37"/>
  <c r="U29"/>
  <c r="U21"/>
  <c r="U248"/>
  <c r="U224"/>
  <c r="U192"/>
  <c r="U136"/>
  <c r="U68"/>
  <c r="AB68" s="1"/>
  <c r="U40"/>
  <c r="U18"/>
  <c r="AP116"/>
  <c r="AP80"/>
  <c r="AP64"/>
  <c r="U244"/>
  <c r="U208"/>
  <c r="AB208" s="1"/>
  <c r="AB61"/>
  <c r="U9"/>
  <c r="AP212"/>
  <c r="AP196"/>
  <c r="AP180"/>
  <c r="AP164"/>
  <c r="AP148"/>
  <c r="AP132"/>
  <c r="AB115"/>
  <c r="AB73"/>
  <c r="U155"/>
  <c r="U111"/>
  <c r="U101"/>
  <c r="U55"/>
  <c r="U247"/>
  <c r="AB247" s="1"/>
  <c r="U234"/>
  <c r="U166"/>
  <c r="U44"/>
  <c r="AB44" s="1"/>
  <c r="U129"/>
  <c r="AB129" s="1"/>
  <c r="U77"/>
  <c r="AB77" s="1"/>
  <c r="AB18"/>
  <c r="AB91"/>
  <c r="AB62"/>
  <c r="AB29"/>
  <c r="AB21"/>
  <c r="AB145"/>
  <c r="AB40"/>
  <c r="AB163"/>
  <c r="AB226"/>
  <c r="AB12"/>
  <c r="AB37"/>
  <c r="AB192"/>
  <c r="AB100"/>
  <c r="AB215"/>
  <c r="AB167"/>
  <c r="AB122"/>
  <c r="AB153"/>
  <c r="AB53"/>
  <c r="AB128"/>
  <c r="AB84"/>
  <c r="AB252"/>
  <c r="AB228"/>
  <c r="AB188"/>
  <c r="AB160"/>
  <c r="AB136"/>
  <c r="AB92"/>
  <c r="AB10"/>
  <c r="U147"/>
  <c r="U131"/>
  <c r="U79"/>
  <c r="U63"/>
  <c r="U31"/>
  <c r="U27"/>
  <c r="AB27" s="1"/>
  <c r="U19"/>
  <c r="U7"/>
  <c r="U238"/>
  <c r="U206"/>
  <c r="U162"/>
  <c r="U146"/>
  <c r="U114"/>
  <c r="U78"/>
  <c r="U50"/>
  <c r="U197"/>
  <c r="AB197" s="1"/>
  <c r="U181"/>
  <c r="U93"/>
  <c r="U49"/>
  <c r="AB49" s="1"/>
  <c r="U237"/>
  <c r="AB237" s="1"/>
  <c r="U212"/>
  <c r="U180"/>
  <c r="U148"/>
  <c r="AB148" s="1"/>
  <c r="U140"/>
  <c r="U120"/>
  <c r="U106"/>
  <c r="AB106" s="1"/>
  <c r="U52"/>
  <c r="U26"/>
  <c r="AP243"/>
  <c r="AP223"/>
  <c r="AP207"/>
  <c r="AP191"/>
  <c r="AP175"/>
  <c r="AP159"/>
  <c r="AP143"/>
  <c r="AP127"/>
  <c r="AP111"/>
  <c r="AP91"/>
  <c r="AP75"/>
  <c r="AP59"/>
  <c r="AP43"/>
  <c r="AP27"/>
  <c r="AP11"/>
  <c r="AP247"/>
  <c r="AP20"/>
  <c r="AP108"/>
  <c r="AP233"/>
  <c r="AP217"/>
  <c r="AP201"/>
  <c r="AP185"/>
  <c r="AP169"/>
  <c r="AP153"/>
  <c r="AP137"/>
  <c r="AP121"/>
  <c r="AP103"/>
  <c r="AP85"/>
  <c r="AP69"/>
  <c r="AP53"/>
  <c r="AP37"/>
  <c r="AP21"/>
  <c r="AP237"/>
  <c r="AP248"/>
  <c r="AP232"/>
  <c r="AP216"/>
  <c r="AP200"/>
  <c r="AP184"/>
  <c r="AP168"/>
  <c r="AP152"/>
  <c r="AP136"/>
  <c r="AP120"/>
  <c r="AP84"/>
  <c r="AP68"/>
  <c r="AP52"/>
  <c r="AP32"/>
  <c r="AP48"/>
  <c r="AP95"/>
  <c r="AP107"/>
  <c r="AP235"/>
  <c r="AP219"/>
  <c r="AP203"/>
  <c r="AP187"/>
  <c r="AP171"/>
  <c r="AP155"/>
  <c r="AP139"/>
  <c r="AP123"/>
  <c r="AP105"/>
  <c r="AP87"/>
  <c r="AP71"/>
  <c r="AP55"/>
  <c r="AP39"/>
  <c r="AP23"/>
  <c r="AP7"/>
  <c r="AP241"/>
  <c r="AP104"/>
  <c r="AP24"/>
  <c r="AP239"/>
  <c r="AP221"/>
  <c r="AP205"/>
  <c r="AP189"/>
  <c r="AP173"/>
  <c r="AP157"/>
  <c r="AP141"/>
  <c r="AP125"/>
  <c r="AP109"/>
  <c r="AP89"/>
  <c r="AP73"/>
  <c r="AP57"/>
  <c r="AP41"/>
  <c r="AP25"/>
  <c r="AP9"/>
  <c r="AP245"/>
  <c r="AP252"/>
  <c r="AP236"/>
  <c r="AP220"/>
  <c r="AP204"/>
  <c r="AP188"/>
  <c r="AP172"/>
  <c r="AP156"/>
  <c r="AP140"/>
  <c r="AP124"/>
  <c r="AP88"/>
  <c r="AP72"/>
  <c r="AP56"/>
  <c r="AP36"/>
  <c r="AP5"/>
  <c r="AS5" s="1"/>
  <c r="AS6" s="1"/>
  <c r="AB175"/>
  <c r="AB179"/>
  <c r="AB142"/>
  <c r="AB111"/>
  <c r="AB202"/>
  <c r="AB230"/>
  <c r="U243"/>
  <c r="AB243" s="1"/>
  <c r="U231"/>
  <c r="AB231" s="1"/>
  <c r="U203"/>
  <c r="AB203" s="1"/>
  <c r="U183"/>
  <c r="AB183" s="1"/>
  <c r="U171"/>
  <c r="AB171" s="1"/>
  <c r="U139"/>
  <c r="AB139" s="1"/>
  <c r="U123"/>
  <c r="AB123" s="1"/>
  <c r="U119"/>
  <c r="AB119" s="1"/>
  <c r="U87"/>
  <c r="AB87" s="1"/>
  <c r="U47"/>
  <c r="AB47" s="1"/>
  <c r="U39"/>
  <c r="AB39" s="1"/>
  <c r="U15"/>
  <c r="AB15" s="1"/>
  <c r="U246"/>
  <c r="AB246" s="1"/>
  <c r="U210"/>
  <c r="AB210" s="1"/>
  <c r="U198"/>
  <c r="AB198" s="1"/>
  <c r="U186"/>
  <c r="AB186" s="1"/>
  <c r="U174"/>
  <c r="AB174" s="1"/>
  <c r="U150"/>
  <c r="AB150" s="1"/>
  <c r="U126"/>
  <c r="AB126" s="1"/>
  <c r="U118"/>
  <c r="AB118" s="1"/>
  <c r="U96"/>
  <c r="AB96" s="1"/>
  <c r="U74"/>
  <c r="AB74" s="1"/>
  <c r="U66"/>
  <c r="AB66" s="1"/>
  <c r="U54"/>
  <c r="AB54" s="1"/>
  <c r="U34"/>
  <c r="AB34" s="1"/>
  <c r="U24"/>
  <c r="AB24" s="1"/>
  <c r="U20"/>
  <c r="AB20" s="1"/>
  <c r="U8"/>
  <c r="AB8" s="1"/>
  <c r="U95"/>
  <c r="AB95" s="1"/>
  <c r="U249"/>
  <c r="AB249" s="1"/>
  <c r="U221"/>
  <c r="AB221" s="1"/>
  <c r="U201"/>
  <c r="AB201" s="1"/>
  <c r="U193"/>
  <c r="AB193" s="1"/>
  <c r="U149"/>
  <c r="AB149" s="1"/>
  <c r="U133"/>
  <c r="AB133" s="1"/>
  <c r="U103"/>
  <c r="AB103" s="1"/>
  <c r="U99"/>
  <c r="AB99" s="1"/>
  <c r="U85"/>
  <c r="AB85" s="1"/>
  <c r="U81"/>
  <c r="AB81" s="1"/>
  <c r="U65"/>
  <c r="AB65" s="1"/>
  <c r="U57"/>
  <c r="AB57" s="1"/>
  <c r="U33"/>
  <c r="AB33" s="1"/>
  <c r="U240"/>
  <c r="AB240" s="1"/>
  <c r="U232"/>
  <c r="AB232" s="1"/>
  <c r="U168"/>
  <c r="AB168" s="1"/>
  <c r="U164"/>
  <c r="AB164" s="1"/>
  <c r="U156"/>
  <c r="AB156" s="1"/>
  <c r="U132"/>
  <c r="AB132" s="1"/>
  <c r="U112"/>
  <c r="AB112" s="1"/>
  <c r="U80"/>
  <c r="AB80" s="1"/>
  <c r="U60"/>
  <c r="AB60" s="1"/>
  <c r="U32"/>
  <c r="AB32" s="1"/>
  <c r="AB180"/>
  <c r="AB212"/>
  <c r="AI243"/>
  <c r="AI223"/>
  <c r="AI207"/>
  <c r="AI183"/>
  <c r="AI83"/>
  <c r="AI67"/>
  <c r="AI43"/>
  <c r="AI114"/>
  <c r="AI96"/>
  <c r="AI94"/>
  <c r="AI249"/>
  <c r="AI233"/>
  <c r="AI225"/>
  <c r="AI217"/>
  <c r="AI209"/>
  <c r="AI201"/>
  <c r="AI193"/>
  <c r="AI185"/>
  <c r="AI177"/>
  <c r="AI169"/>
  <c r="AI161"/>
  <c r="AI153"/>
  <c r="AI145"/>
  <c r="AI137"/>
  <c r="AI129"/>
  <c r="AI121"/>
  <c r="AI93"/>
  <c r="AI85"/>
  <c r="AI77"/>
  <c r="AI69"/>
  <c r="AI61"/>
  <c r="AI53"/>
  <c r="AI45"/>
  <c r="AI37"/>
  <c r="AI29"/>
  <c r="AI21"/>
  <c r="AI13"/>
  <c r="AI251"/>
  <c r="AI237"/>
  <c r="AI112"/>
  <c r="AI102"/>
  <c r="AI110"/>
  <c r="AP238"/>
  <c r="AP222"/>
  <c r="AP206"/>
  <c r="AP190"/>
  <c r="AP174"/>
  <c r="AP158"/>
  <c r="AP142"/>
  <c r="AP126"/>
  <c r="AP110"/>
  <c r="AP90"/>
  <c r="AP74"/>
  <c r="AP58"/>
  <c r="AP38"/>
  <c r="AP102"/>
  <c r="AP14"/>
  <c r="AP34"/>
  <c r="AP250"/>
  <c r="AP234"/>
  <c r="AP218"/>
  <c r="AP202"/>
  <c r="AP186"/>
  <c r="AP170"/>
  <c r="AP154"/>
  <c r="AP138"/>
  <c r="AP122"/>
  <c r="AP86"/>
  <c r="AP70"/>
  <c r="AP54"/>
  <c r="AP94"/>
  <c r="AP106"/>
  <c r="AP18"/>
  <c r="AD4"/>
  <c r="O4" s="1"/>
  <c r="P4" s="1"/>
  <c r="Q4" s="1"/>
  <c r="AR4"/>
  <c r="AB14"/>
  <c r="AB124"/>
  <c r="AB224"/>
  <c r="AB200"/>
  <c r="AB56"/>
  <c r="AB26"/>
  <c r="AB72"/>
  <c r="AI231"/>
  <c r="AI215"/>
  <c r="AI199"/>
  <c r="AI191"/>
  <c r="AI175"/>
  <c r="AI167"/>
  <c r="AI159"/>
  <c r="AI151"/>
  <c r="AI143"/>
  <c r="AI135"/>
  <c r="AI127"/>
  <c r="AI91"/>
  <c r="AI75"/>
  <c r="AI59"/>
  <c r="AI51"/>
  <c r="AI35"/>
  <c r="AI27"/>
  <c r="AI19"/>
  <c r="AI11"/>
  <c r="AI247"/>
  <c r="AP231"/>
  <c r="AP215"/>
  <c r="AP199"/>
  <c r="AP183"/>
  <c r="AP167"/>
  <c r="AP151"/>
  <c r="AP135"/>
  <c r="AP119"/>
  <c r="AP101"/>
  <c r="AP83"/>
  <c r="AP67"/>
  <c r="AP51"/>
  <c r="AP35"/>
  <c r="AP19"/>
  <c r="AP100"/>
  <c r="AP12"/>
  <c r="AP249"/>
  <c r="AP225"/>
  <c r="AP209"/>
  <c r="AP193"/>
  <c r="AP177"/>
  <c r="AP161"/>
  <c r="AP145"/>
  <c r="AP129"/>
  <c r="AP113"/>
  <c r="AP93"/>
  <c r="AP77"/>
  <c r="AP61"/>
  <c r="AP45"/>
  <c r="AP29"/>
  <c r="AP13"/>
  <c r="AP251"/>
  <c r="AP240"/>
  <c r="AP224"/>
  <c r="AP208"/>
  <c r="AP192"/>
  <c r="AP176"/>
  <c r="AP160"/>
  <c r="AP144"/>
  <c r="AP128"/>
  <c r="AP112"/>
  <c r="AP92"/>
  <c r="AP76"/>
  <c r="AP60"/>
  <c r="AP40"/>
  <c r="AP28"/>
  <c r="AP16"/>
  <c r="AP253"/>
  <c r="AP227"/>
  <c r="AP211"/>
  <c r="AP195"/>
  <c r="AP179"/>
  <c r="AP163"/>
  <c r="AP147"/>
  <c r="AP131"/>
  <c r="AP115"/>
  <c r="AP97"/>
  <c r="AP79"/>
  <c r="AP63"/>
  <c r="AP47"/>
  <c r="AP31"/>
  <c r="AP15"/>
  <c r="AP96"/>
  <c r="AP44"/>
  <c r="AP8"/>
  <c r="AP229"/>
  <c r="AP213"/>
  <c r="AP197"/>
  <c r="AP181"/>
  <c r="AP165"/>
  <c r="AP149"/>
  <c r="AP133"/>
  <c r="AP117"/>
  <c r="AP99"/>
  <c r="AP81"/>
  <c r="AP65"/>
  <c r="AP49"/>
  <c r="AP33"/>
  <c r="AP17"/>
  <c r="AP244"/>
  <c r="AP228"/>
  <c r="AB64"/>
  <c r="AB52"/>
  <c r="AB244"/>
  <c r="AB236"/>
  <c r="AB204"/>
  <c r="AB184"/>
  <c r="AB120"/>
  <c r="AB98"/>
  <c r="AB76"/>
  <c r="AB140"/>
  <c r="AB36"/>
  <c r="AB6"/>
  <c r="U207"/>
  <c r="AP98"/>
  <c r="AP46"/>
  <c r="AP26"/>
  <c r="AP10"/>
  <c r="AI108"/>
  <c r="AI119"/>
  <c r="AI115"/>
  <c r="AI111"/>
  <c r="AI105"/>
  <c r="AI101"/>
  <c r="AI97"/>
  <c r="AI250"/>
  <c r="AI246"/>
  <c r="AI242"/>
  <c r="AI238"/>
  <c r="AI234"/>
  <c r="AI230"/>
  <c r="AI226"/>
  <c r="AI222"/>
  <c r="AI218"/>
  <c r="AI214"/>
  <c r="AI210"/>
  <c r="AI206"/>
  <c r="AI202"/>
  <c r="AI198"/>
  <c r="AI194"/>
  <c r="AI190"/>
  <c r="AI186"/>
  <c r="AI182"/>
  <c r="AI178"/>
  <c r="AI174"/>
  <c r="AI170"/>
  <c r="AI166"/>
  <c r="AI162"/>
  <c r="AI158"/>
  <c r="AI154"/>
  <c r="AI150"/>
  <c r="AI146"/>
  <c r="AI142"/>
  <c r="AI138"/>
  <c r="AI134"/>
  <c r="AI130"/>
  <c r="AI126"/>
  <c r="AI122"/>
  <c r="AI78"/>
  <c r="AI66"/>
  <c r="AI58"/>
  <c r="AI38"/>
  <c r="AI20"/>
  <c r="AI117"/>
  <c r="AI113"/>
  <c r="AI109"/>
  <c r="AI103"/>
  <c r="AI99"/>
  <c r="AI252"/>
  <c r="AI248"/>
  <c r="AI244"/>
  <c r="AI240"/>
  <c r="AI236"/>
  <c r="AI232"/>
  <c r="AI228"/>
  <c r="AI224"/>
  <c r="AI220"/>
  <c r="AI216"/>
  <c r="AI212"/>
  <c r="AI208"/>
  <c r="AI204"/>
  <c r="AI200"/>
  <c r="AI196"/>
  <c r="AI192"/>
  <c r="AI188"/>
  <c r="AI184"/>
  <c r="AI180"/>
  <c r="AI176"/>
  <c r="AI172"/>
  <c r="AI168"/>
  <c r="AI164"/>
  <c r="AI160"/>
  <c r="AI156"/>
  <c r="AI152"/>
  <c r="AI148"/>
  <c r="AI144"/>
  <c r="AI140"/>
  <c r="AI136"/>
  <c r="AI132"/>
  <c r="AI128"/>
  <c r="AI124"/>
  <c r="AI120"/>
  <c r="AI92"/>
  <c r="AI88"/>
  <c r="AI84"/>
  <c r="AI80"/>
  <c r="AI76"/>
  <c r="AI72"/>
  <c r="AI68"/>
  <c r="AI64"/>
  <c r="AI60"/>
  <c r="AI56"/>
  <c r="AI52"/>
  <c r="AI46"/>
  <c r="AI40"/>
  <c r="AI36"/>
  <c r="AI32"/>
  <c r="AI26"/>
  <c r="AI22"/>
  <c r="AI18"/>
  <c r="AI14"/>
  <c r="AI10"/>
  <c r="AI6"/>
  <c r="AI107"/>
  <c r="AI48"/>
  <c r="AI28"/>
  <c r="AI90"/>
  <c r="AI86"/>
  <c r="AI82"/>
  <c r="AI74"/>
  <c r="AI70"/>
  <c r="AI62"/>
  <c r="AI54"/>
  <c r="AI50"/>
  <c r="AI44"/>
  <c r="AI34"/>
  <c r="AI30"/>
  <c r="AI24"/>
  <c r="AI16"/>
  <c r="AI12"/>
  <c r="AI8"/>
  <c r="AI95"/>
  <c r="AI42"/>
  <c r="AB235"/>
  <c r="AB211"/>
  <c r="AB173"/>
  <c r="AB166"/>
  <c r="AB154"/>
  <c r="AB147"/>
  <c r="AB135"/>
  <c r="AB130"/>
  <c r="AB121"/>
  <c r="AB114"/>
  <c r="AB104"/>
  <c r="AB97"/>
  <c r="AB89"/>
  <c r="AB78"/>
  <c r="AB71"/>
  <c r="AB58"/>
  <c r="AB50"/>
  <c r="AB43"/>
  <c r="AB38"/>
  <c r="AB35"/>
  <c r="AB31"/>
  <c r="AB23"/>
  <c r="AB19"/>
  <c r="AB16"/>
  <c r="AB11"/>
  <c r="AB7"/>
  <c r="AB250"/>
  <c r="AB234"/>
  <c r="AB214"/>
  <c r="AB206"/>
  <c r="AB190"/>
  <c r="AB86"/>
  <c r="AB83"/>
  <c r="AB79"/>
  <c r="AB75"/>
  <c r="AB70"/>
  <c r="AB67"/>
  <c r="AB63"/>
  <c r="AB59"/>
  <c r="AB55"/>
  <c r="AB51"/>
  <c r="AB238"/>
  <c r="AB222"/>
  <c r="AB194"/>
  <c r="AB239"/>
  <c r="AB229"/>
  <c r="AB223"/>
  <c r="AB199"/>
  <c r="AB195"/>
  <c r="AB191"/>
  <c r="AB181"/>
  <c r="AB178"/>
  <c r="AB169"/>
  <c r="AB165"/>
  <c r="AB162"/>
  <c r="AB158"/>
  <c r="AB155"/>
  <c r="AB151"/>
  <c r="AB146"/>
  <c r="AB141"/>
  <c r="AB138"/>
  <c r="AB134"/>
  <c r="AB131"/>
  <c r="AB127"/>
  <c r="AB117"/>
  <c r="AB113"/>
  <c r="AB110"/>
  <c r="AB105"/>
  <c r="AB101"/>
  <c r="AB93"/>
  <c r="AB90"/>
  <c r="AB69"/>
  <c r="AB41"/>
  <c r="AB25"/>
  <c r="AB9"/>
  <c r="AB248"/>
  <c r="AB187"/>
  <c r="AB108"/>
  <c r="AB170"/>
  <c r="AB82"/>
  <c r="AB241"/>
  <c r="AB207"/>
  <c r="U213"/>
  <c r="AB213" s="1"/>
  <c r="U233"/>
  <c r="AB233" s="1"/>
  <c r="U225"/>
  <c r="AB225" s="1"/>
  <c r="U218"/>
  <c r="AB218" s="1"/>
  <c r="U159"/>
  <c r="AB159" s="1"/>
  <c r="U143"/>
  <c r="AB143" s="1"/>
  <c r="U107"/>
  <c r="AB107" s="1"/>
  <c r="U189"/>
  <c r="AB189" s="1"/>
  <c r="U177"/>
  <c r="AB177" s="1"/>
  <c r="U161"/>
  <c r="AB161" s="1"/>
  <c r="U137"/>
  <c r="AB137" s="1"/>
  <c r="U251"/>
  <c r="AB251" s="1"/>
  <c r="U109"/>
  <c r="AB109" s="1"/>
  <c r="U245"/>
  <c r="AB245" s="1"/>
  <c r="U205"/>
  <c r="AB205" s="1"/>
  <c r="U196"/>
  <c r="AB196" s="1"/>
  <c r="U185"/>
  <c r="AB185" s="1"/>
  <c r="U157"/>
  <c r="AB157" s="1"/>
  <c r="U152"/>
  <c r="AB152" s="1"/>
  <c r="U125"/>
  <c r="AB125" s="1"/>
  <c r="U116"/>
  <c r="AB116" s="1"/>
  <c r="U217"/>
  <c r="AB217" s="1"/>
  <c r="U227"/>
  <c r="AB227" s="1"/>
  <c r="U45"/>
  <c r="AB45" s="1"/>
  <c r="U13"/>
  <c r="AB13" s="1"/>
  <c r="U242"/>
  <c r="AB242" s="1"/>
  <c r="U219"/>
  <c r="AB219" s="1"/>
  <c r="U216"/>
  <c r="AB216" s="1"/>
  <c r="U176"/>
  <c r="AB176" s="1"/>
  <c r="U88"/>
  <c r="AB88" s="1"/>
  <c r="U220"/>
  <c r="AB220" s="1"/>
  <c r="U209"/>
  <c r="AB209" s="1"/>
  <c r="U172"/>
  <c r="AB172" s="1"/>
  <c r="U102"/>
  <c r="AB102" s="1"/>
  <c r="U253"/>
  <c r="AB253" s="1"/>
  <c r="U94"/>
  <c r="AB94" s="1"/>
  <c r="U42"/>
  <c r="AB42" s="1"/>
  <c r="U5"/>
  <c r="X5" s="1"/>
  <c r="M5" s="1"/>
  <c r="U28"/>
  <c r="AB28" s="1"/>
  <c r="U48"/>
  <c r="AB48" s="1"/>
  <c r="AS7" l="1"/>
  <c r="AS8" s="1"/>
  <c r="AS9" s="1"/>
  <c r="AS10" s="1"/>
  <c r="AS11" s="1"/>
  <c r="AS12" s="1"/>
  <c r="AS13" s="1"/>
  <c r="AS14" s="1"/>
  <c r="AS15" s="1"/>
  <c r="AS16" s="1"/>
  <c r="AS17" s="1"/>
  <c r="AS18" s="1"/>
  <c r="AS19" s="1"/>
  <c r="AS20" s="1"/>
  <c r="AS21" s="1"/>
  <c r="AS22" s="1"/>
  <c r="AS23" s="1"/>
  <c r="AS24" s="1"/>
  <c r="AS25" s="1"/>
  <c r="AS26" s="1"/>
  <c r="AS27" s="1"/>
  <c r="AS28" s="1"/>
  <c r="AS29" s="1"/>
  <c r="AS30" s="1"/>
  <c r="AS31" s="1"/>
  <c r="AS32" s="1"/>
  <c r="AS33" s="1"/>
  <c r="AS34" s="1"/>
  <c r="AS35" s="1"/>
  <c r="AS36" s="1"/>
  <c r="AS37" s="1"/>
  <c r="AS38" s="1"/>
  <c r="AS39" s="1"/>
  <c r="AS40" s="1"/>
  <c r="AS41" s="1"/>
  <c r="AS42" s="1"/>
  <c r="AS43" s="1"/>
  <c r="AS44" s="1"/>
  <c r="AS45" s="1"/>
  <c r="AS46" s="1"/>
  <c r="AS47" s="1"/>
  <c r="AS48" s="1"/>
  <c r="AS49" s="1"/>
  <c r="AS50" s="1"/>
  <c r="AS51" s="1"/>
  <c r="AS52" s="1"/>
  <c r="AS53" s="1"/>
  <c r="AS54" s="1"/>
  <c r="AS55" s="1"/>
  <c r="AS56" s="1"/>
  <c r="AS57" s="1"/>
  <c r="AS58" s="1"/>
  <c r="AS59" s="1"/>
  <c r="AS60" s="1"/>
  <c r="AS61" s="1"/>
  <c r="AS62" s="1"/>
  <c r="AS63" s="1"/>
  <c r="AS64" s="1"/>
  <c r="AS65" s="1"/>
  <c r="AS66" s="1"/>
  <c r="AS67" s="1"/>
  <c r="AS68" s="1"/>
  <c r="AS69" s="1"/>
  <c r="AS70" s="1"/>
  <c r="AS71" s="1"/>
  <c r="AS72" s="1"/>
  <c r="AS73" s="1"/>
  <c r="AS74" s="1"/>
  <c r="AS75" s="1"/>
  <c r="AS76" s="1"/>
  <c r="AS77" s="1"/>
  <c r="AS78" s="1"/>
  <c r="AS79" s="1"/>
  <c r="AS80" s="1"/>
  <c r="AS81" s="1"/>
  <c r="AS82" s="1"/>
  <c r="AS83" s="1"/>
  <c r="AS84" s="1"/>
  <c r="AS85" s="1"/>
  <c r="AS86" s="1"/>
  <c r="AS87" s="1"/>
  <c r="AS88" s="1"/>
  <c r="AS89" s="1"/>
  <c r="AS90" s="1"/>
  <c r="AS91" s="1"/>
  <c r="AS92" s="1"/>
  <c r="AS93" s="1"/>
  <c r="AS94" s="1"/>
  <c r="AS95" s="1"/>
  <c r="AS96" s="1"/>
  <c r="AS97" s="1"/>
  <c r="AS98" s="1"/>
  <c r="AS99" s="1"/>
  <c r="AS100" s="1"/>
  <c r="AS101" s="1"/>
  <c r="AS102" s="1"/>
  <c r="AS103" s="1"/>
  <c r="AS104" s="1"/>
  <c r="AS105" s="1"/>
  <c r="AS106" s="1"/>
  <c r="AS107" s="1"/>
  <c r="AS108" s="1"/>
  <c r="AS109" s="1"/>
  <c r="AS110" s="1"/>
  <c r="AS111" s="1"/>
  <c r="AS112" s="1"/>
  <c r="AS113" s="1"/>
  <c r="AS114" s="1"/>
  <c r="AS115" s="1"/>
  <c r="AS116" s="1"/>
  <c r="AS117" s="1"/>
  <c r="AS118" s="1"/>
  <c r="AS119" s="1"/>
  <c r="AS120" s="1"/>
  <c r="AS121" s="1"/>
  <c r="AS122" s="1"/>
  <c r="AS123" s="1"/>
  <c r="AS124" s="1"/>
  <c r="AS125" s="1"/>
  <c r="AS126" s="1"/>
  <c r="AS127" s="1"/>
  <c r="AS128" s="1"/>
  <c r="AS129" s="1"/>
  <c r="AS130" s="1"/>
  <c r="AS131" s="1"/>
  <c r="AS132" s="1"/>
  <c r="AS133" s="1"/>
  <c r="AS134" s="1"/>
  <c r="AS135" s="1"/>
  <c r="AS136" s="1"/>
  <c r="AS137" s="1"/>
  <c r="AS138" s="1"/>
  <c r="AS139" s="1"/>
  <c r="AS140" s="1"/>
  <c r="AS141" s="1"/>
  <c r="AS142" s="1"/>
  <c r="AS143" s="1"/>
  <c r="AS144" s="1"/>
  <c r="AS145" s="1"/>
  <c r="AS146" s="1"/>
  <c r="AS147" s="1"/>
  <c r="AS148" s="1"/>
  <c r="AS149" s="1"/>
  <c r="AS150" s="1"/>
  <c r="AS151" s="1"/>
  <c r="AS152" s="1"/>
  <c r="AS153" s="1"/>
  <c r="AS154" s="1"/>
  <c r="AS155" s="1"/>
  <c r="AS156" s="1"/>
  <c r="AS157" s="1"/>
  <c r="AS158" s="1"/>
  <c r="AS159" s="1"/>
  <c r="AS160" s="1"/>
  <c r="AS161" s="1"/>
  <c r="AS162" s="1"/>
  <c r="AS163" s="1"/>
  <c r="AS164" s="1"/>
  <c r="AS165" s="1"/>
  <c r="AS166" s="1"/>
  <c r="AS167" s="1"/>
  <c r="AS168" s="1"/>
  <c r="AS169" s="1"/>
  <c r="AS170" s="1"/>
  <c r="AS171" s="1"/>
  <c r="AS172" s="1"/>
  <c r="AS173" s="1"/>
  <c r="AS174" s="1"/>
  <c r="AS175" s="1"/>
  <c r="AS176" s="1"/>
  <c r="AS177" s="1"/>
  <c r="AS178" s="1"/>
  <c r="AS179" s="1"/>
  <c r="AS180" s="1"/>
  <c r="AS181" s="1"/>
  <c r="AS182" s="1"/>
  <c r="AS183" s="1"/>
  <c r="AS184" s="1"/>
  <c r="AS185" s="1"/>
  <c r="AS186" s="1"/>
  <c r="AS187" s="1"/>
  <c r="AS188" s="1"/>
  <c r="AS189" s="1"/>
  <c r="AS190" s="1"/>
  <c r="AS191" s="1"/>
  <c r="AS192" s="1"/>
  <c r="AS193" s="1"/>
  <c r="AS194" s="1"/>
  <c r="AS195" s="1"/>
  <c r="AS196" s="1"/>
  <c r="AS197" s="1"/>
  <c r="AS198" s="1"/>
  <c r="AS199" s="1"/>
  <c r="AS200" s="1"/>
  <c r="AS201" s="1"/>
  <c r="AS202" s="1"/>
  <c r="AS203" s="1"/>
  <c r="AS204" s="1"/>
  <c r="AS205" s="1"/>
  <c r="AS206" s="1"/>
  <c r="AS207" s="1"/>
  <c r="AS208" s="1"/>
  <c r="AS209" s="1"/>
  <c r="AS210" s="1"/>
  <c r="AS211" s="1"/>
  <c r="AS212" s="1"/>
  <c r="AS213" s="1"/>
  <c r="AS214" s="1"/>
  <c r="AS215" s="1"/>
  <c r="AS216" s="1"/>
  <c r="AS217" s="1"/>
  <c r="AS218" s="1"/>
  <c r="AS219" s="1"/>
  <c r="AS220" s="1"/>
  <c r="AS221" s="1"/>
  <c r="AS222" s="1"/>
  <c r="AS223" s="1"/>
  <c r="AS224" s="1"/>
  <c r="AS225" s="1"/>
  <c r="AS226" s="1"/>
  <c r="AS227" s="1"/>
  <c r="AS228" s="1"/>
  <c r="AS229" s="1"/>
  <c r="AS230" s="1"/>
  <c r="AS231" s="1"/>
  <c r="AS232" s="1"/>
  <c r="AS233" s="1"/>
  <c r="AS234" s="1"/>
  <c r="AS235" s="1"/>
  <c r="AS236" s="1"/>
  <c r="AS237" s="1"/>
  <c r="AS238" s="1"/>
  <c r="AS239" s="1"/>
  <c r="AS240" s="1"/>
  <c r="AS241" s="1"/>
  <c r="AS242" s="1"/>
  <c r="AS243" s="1"/>
  <c r="AS244" s="1"/>
  <c r="AS245" s="1"/>
  <c r="AS246" s="1"/>
  <c r="AS247" s="1"/>
  <c r="AS248" s="1"/>
  <c r="AS249" s="1"/>
  <c r="AS250" s="1"/>
  <c r="AS251" s="1"/>
  <c r="AS252" s="1"/>
  <c r="AS253" s="1"/>
  <c r="AL6"/>
  <c r="AL7" s="1"/>
  <c r="AL8" s="1"/>
  <c r="AL9" s="1"/>
  <c r="AL10" s="1"/>
  <c r="AL11" s="1"/>
  <c r="AL12" s="1"/>
  <c r="AL13" s="1"/>
  <c r="AL14" s="1"/>
  <c r="AL15" s="1"/>
  <c r="AL16" s="1"/>
  <c r="AL17" s="1"/>
  <c r="AL18" s="1"/>
  <c r="AL19" s="1"/>
  <c r="AL20" s="1"/>
  <c r="AL21" s="1"/>
  <c r="AL22" s="1"/>
  <c r="AL23" s="1"/>
  <c r="AL24" s="1"/>
  <c r="AL25" s="1"/>
  <c r="AL26" s="1"/>
  <c r="AL27" s="1"/>
  <c r="AL28" s="1"/>
  <c r="AL29" s="1"/>
  <c r="AL30" s="1"/>
  <c r="AL31" s="1"/>
  <c r="AL32" s="1"/>
  <c r="AL33" s="1"/>
  <c r="AL34" s="1"/>
  <c r="AL35" s="1"/>
  <c r="AL36" s="1"/>
  <c r="AL37" s="1"/>
  <c r="AL38" s="1"/>
  <c r="AL39" s="1"/>
  <c r="AL40" s="1"/>
  <c r="AL41" s="1"/>
  <c r="AL42" s="1"/>
  <c r="AL43" s="1"/>
  <c r="AL44" s="1"/>
  <c r="AL45" s="1"/>
  <c r="AL46" s="1"/>
  <c r="AL47" s="1"/>
  <c r="AL48" s="1"/>
  <c r="AL49" s="1"/>
  <c r="AL50" s="1"/>
  <c r="AL51" s="1"/>
  <c r="AL52" s="1"/>
  <c r="AL53" s="1"/>
  <c r="AL54" s="1"/>
  <c r="AL55" s="1"/>
  <c r="AL56" s="1"/>
  <c r="AL57" s="1"/>
  <c r="AL58" s="1"/>
  <c r="AL59" s="1"/>
  <c r="AL60" s="1"/>
  <c r="AL61" s="1"/>
  <c r="AL62" s="1"/>
  <c r="AL63" s="1"/>
  <c r="AL64" s="1"/>
  <c r="AL65" s="1"/>
  <c r="AL66" s="1"/>
  <c r="AL67" s="1"/>
  <c r="AL68" s="1"/>
  <c r="AL69" s="1"/>
  <c r="AL70" s="1"/>
  <c r="AL71" s="1"/>
  <c r="AL72" s="1"/>
  <c r="AL73" s="1"/>
  <c r="AL74" s="1"/>
  <c r="AL75" s="1"/>
  <c r="AL76" s="1"/>
  <c r="AL77" s="1"/>
  <c r="AL78" s="1"/>
  <c r="AL79" s="1"/>
  <c r="AL80" s="1"/>
  <c r="AL81" s="1"/>
  <c r="AL82" s="1"/>
  <c r="AL83" s="1"/>
  <c r="AL84" s="1"/>
  <c r="AL85" s="1"/>
  <c r="AL86" s="1"/>
  <c r="AL87" s="1"/>
  <c r="AL88" s="1"/>
  <c r="AL89" s="1"/>
  <c r="AL90" s="1"/>
  <c r="AL91" s="1"/>
  <c r="AL92" s="1"/>
  <c r="AL93" s="1"/>
  <c r="AL94" s="1"/>
  <c r="AL95" s="1"/>
  <c r="AL96" s="1"/>
  <c r="AL97" s="1"/>
  <c r="AL98" s="1"/>
  <c r="AL99" s="1"/>
  <c r="AL100" s="1"/>
  <c r="AL101" s="1"/>
  <c r="AL102" s="1"/>
  <c r="AL103" s="1"/>
  <c r="AL104" s="1"/>
  <c r="AL105" s="1"/>
  <c r="AL106" s="1"/>
  <c r="AL107" s="1"/>
  <c r="AL108" s="1"/>
  <c r="AL109" s="1"/>
  <c r="AL110" s="1"/>
  <c r="AL111" s="1"/>
  <c r="AL112" s="1"/>
  <c r="AL113" s="1"/>
  <c r="AL114" s="1"/>
  <c r="AL115" s="1"/>
  <c r="AL116" s="1"/>
  <c r="AL117" s="1"/>
  <c r="AL118" s="1"/>
  <c r="AL119" s="1"/>
  <c r="AL120" s="1"/>
  <c r="AL121" s="1"/>
  <c r="AL122" s="1"/>
  <c r="AL123" s="1"/>
  <c r="AL124" s="1"/>
  <c r="AL125" s="1"/>
  <c r="AL126" s="1"/>
  <c r="AL127" s="1"/>
  <c r="AL128" s="1"/>
  <c r="AL129" s="1"/>
  <c r="AL130" s="1"/>
  <c r="AL131" s="1"/>
  <c r="AL132" s="1"/>
  <c r="AL133" s="1"/>
  <c r="AL134" s="1"/>
  <c r="AL135" s="1"/>
  <c r="AL136" s="1"/>
  <c r="AL137" s="1"/>
  <c r="AL138" s="1"/>
  <c r="AL139" s="1"/>
  <c r="AL140" s="1"/>
  <c r="AL141" s="1"/>
  <c r="AL142" s="1"/>
  <c r="AL143" s="1"/>
  <c r="AL144" s="1"/>
  <c r="AL145" s="1"/>
  <c r="AL146" s="1"/>
  <c r="AL147" s="1"/>
  <c r="AL148" s="1"/>
  <c r="AL149" s="1"/>
  <c r="AL150" s="1"/>
  <c r="AL151" s="1"/>
  <c r="AL152" s="1"/>
  <c r="AL153" s="1"/>
  <c r="AL154" s="1"/>
  <c r="AL155" s="1"/>
  <c r="AL156" s="1"/>
  <c r="AL157" s="1"/>
  <c r="AL158" s="1"/>
  <c r="AL159" s="1"/>
  <c r="AL160" s="1"/>
  <c r="AL161" s="1"/>
  <c r="AL162" s="1"/>
  <c r="AL163" s="1"/>
  <c r="AL164" s="1"/>
  <c r="AL165" s="1"/>
  <c r="AL166" s="1"/>
  <c r="AL167" s="1"/>
  <c r="AL168" s="1"/>
  <c r="AL169" s="1"/>
  <c r="AL170" s="1"/>
  <c r="AL171" s="1"/>
  <c r="AL172" s="1"/>
  <c r="AL173" s="1"/>
  <c r="AL174" s="1"/>
  <c r="AL175" s="1"/>
  <c r="AL176" s="1"/>
  <c r="AL177" s="1"/>
  <c r="AL178" s="1"/>
  <c r="AL179" s="1"/>
  <c r="AL180" s="1"/>
  <c r="AL181" s="1"/>
  <c r="AL182" s="1"/>
  <c r="AL183" s="1"/>
  <c r="AL184" s="1"/>
  <c r="AL185" s="1"/>
  <c r="AL186" s="1"/>
  <c r="AL187" s="1"/>
  <c r="AL188" s="1"/>
  <c r="AL189" s="1"/>
  <c r="AL190" s="1"/>
  <c r="AL191" s="1"/>
  <c r="AL192" s="1"/>
  <c r="AL193" s="1"/>
  <c r="AL194" s="1"/>
  <c r="AL195" s="1"/>
  <c r="AL196" s="1"/>
  <c r="AL197" s="1"/>
  <c r="AL198" s="1"/>
  <c r="AL199" s="1"/>
  <c r="AL200" s="1"/>
  <c r="AL201" s="1"/>
  <c r="AL202" s="1"/>
  <c r="AL203" s="1"/>
  <c r="AL204" s="1"/>
  <c r="AL205" s="1"/>
  <c r="AL206" s="1"/>
  <c r="AL207" s="1"/>
  <c r="AL208" s="1"/>
  <c r="AL209" s="1"/>
  <c r="AL210" s="1"/>
  <c r="AL211" s="1"/>
  <c r="AL212" s="1"/>
  <c r="AL213" s="1"/>
  <c r="AL214" s="1"/>
  <c r="AL215" s="1"/>
  <c r="AL216" s="1"/>
  <c r="AL217" s="1"/>
  <c r="AL218" s="1"/>
  <c r="AL219" s="1"/>
  <c r="AL220" s="1"/>
  <c r="AL221" s="1"/>
  <c r="AL222" s="1"/>
  <c r="AL223" s="1"/>
  <c r="AL224" s="1"/>
  <c r="AL225" s="1"/>
  <c r="AL226" s="1"/>
  <c r="AL227" s="1"/>
  <c r="AL228" s="1"/>
  <c r="AL229" s="1"/>
  <c r="AL230" s="1"/>
  <c r="AL231" s="1"/>
  <c r="AL232" s="1"/>
  <c r="AL233" s="1"/>
  <c r="AL234" s="1"/>
  <c r="AL235" s="1"/>
  <c r="AL236" s="1"/>
  <c r="AL237" s="1"/>
  <c r="AL238" s="1"/>
  <c r="AL239" s="1"/>
  <c r="AL240" s="1"/>
  <c r="AL241" s="1"/>
  <c r="AL242" s="1"/>
  <c r="AL243" s="1"/>
  <c r="AL244" s="1"/>
  <c r="AL245" s="1"/>
  <c r="AL246" s="1"/>
  <c r="AL247" s="1"/>
  <c r="AL248" s="1"/>
  <c r="AL249" s="1"/>
  <c r="AL250" s="1"/>
  <c r="AL251" s="1"/>
  <c r="AL252" s="1"/>
  <c r="AL253" s="1"/>
  <c r="X6"/>
  <c r="M6" s="1"/>
  <c r="AK5"/>
  <c r="AK4"/>
  <c r="AB5"/>
  <c r="AE5" s="1"/>
  <c r="AE6" s="1"/>
  <c r="AE7" s="1"/>
  <c r="AE8" s="1"/>
  <c r="AE9" s="1"/>
  <c r="AE10" s="1"/>
  <c r="AE11" s="1"/>
  <c r="AE12" s="1"/>
  <c r="AE13" s="1"/>
  <c r="AE14" s="1"/>
  <c r="AE15" s="1"/>
  <c r="AE16" s="1"/>
  <c r="AE17" s="1"/>
  <c r="AE18" s="1"/>
  <c r="AE19" s="1"/>
  <c r="AE20" s="1"/>
  <c r="AE21" s="1"/>
  <c r="AE22" s="1"/>
  <c r="AE23" s="1"/>
  <c r="AE24" s="1"/>
  <c r="AE25" s="1"/>
  <c r="AE26" s="1"/>
  <c r="AE27" s="1"/>
  <c r="AE28" s="1"/>
  <c r="AE29" s="1"/>
  <c r="AE30" s="1"/>
  <c r="AE31" s="1"/>
  <c r="AE32" s="1"/>
  <c r="AE33" s="1"/>
  <c r="AE34" s="1"/>
  <c r="AE35" s="1"/>
  <c r="AE36" s="1"/>
  <c r="AE37" s="1"/>
  <c r="AE38" s="1"/>
  <c r="AE39" s="1"/>
  <c r="AE40" s="1"/>
  <c r="AE41" s="1"/>
  <c r="AE42" s="1"/>
  <c r="AE43" s="1"/>
  <c r="AE44" s="1"/>
  <c r="AE45" s="1"/>
  <c r="AE46" s="1"/>
  <c r="AE47" s="1"/>
  <c r="AE48" s="1"/>
  <c r="AE49" s="1"/>
  <c r="AE50" s="1"/>
  <c r="AE51" s="1"/>
  <c r="AE52" s="1"/>
  <c r="AE53" s="1"/>
  <c r="AE54" s="1"/>
  <c r="AE55" s="1"/>
  <c r="AE56" s="1"/>
  <c r="AE57" s="1"/>
  <c r="AE58" s="1"/>
  <c r="AE59" s="1"/>
  <c r="AE60" s="1"/>
  <c r="AE61" s="1"/>
  <c r="AE62" s="1"/>
  <c r="AE63" s="1"/>
  <c r="AE64" s="1"/>
  <c r="AE65" s="1"/>
  <c r="AE66" s="1"/>
  <c r="AE67" s="1"/>
  <c r="AE68" s="1"/>
  <c r="AE69" s="1"/>
  <c r="AE70" s="1"/>
  <c r="AE71" s="1"/>
  <c r="AE72" s="1"/>
  <c r="AE73" s="1"/>
  <c r="AE74" s="1"/>
  <c r="AE75" s="1"/>
  <c r="AE76" s="1"/>
  <c r="AE77" s="1"/>
  <c r="AE78" s="1"/>
  <c r="AE79" s="1"/>
  <c r="AE80" s="1"/>
  <c r="AE81" s="1"/>
  <c r="AE82" s="1"/>
  <c r="AE83" s="1"/>
  <c r="AE84" s="1"/>
  <c r="AE85" s="1"/>
  <c r="AE86" s="1"/>
  <c r="AE87" s="1"/>
  <c r="AE88" s="1"/>
  <c r="AE89" s="1"/>
  <c r="AE90" s="1"/>
  <c r="AE91" s="1"/>
  <c r="AE92" s="1"/>
  <c r="AE93" s="1"/>
  <c r="AE94" s="1"/>
  <c r="AE95" s="1"/>
  <c r="AE96" s="1"/>
  <c r="AE97" s="1"/>
  <c r="AE98" s="1"/>
  <c r="AE99" s="1"/>
  <c r="AE100" s="1"/>
  <c r="AE101" s="1"/>
  <c r="AE102" s="1"/>
  <c r="AE103" s="1"/>
  <c r="AE104" s="1"/>
  <c r="AE105" s="1"/>
  <c r="AE106" s="1"/>
  <c r="AE107" s="1"/>
  <c r="AE108" s="1"/>
  <c r="AE109" s="1"/>
  <c r="AE110" s="1"/>
  <c r="AE111" s="1"/>
  <c r="AE112" s="1"/>
  <c r="AE113" s="1"/>
  <c r="AE114" s="1"/>
  <c r="AE115" s="1"/>
  <c r="AE116" s="1"/>
  <c r="AE117" s="1"/>
  <c r="AE118" s="1"/>
  <c r="AE119" s="1"/>
  <c r="AE120" s="1"/>
  <c r="AE121" s="1"/>
  <c r="AE122" s="1"/>
  <c r="AE123" s="1"/>
  <c r="AE124" s="1"/>
  <c r="AE125" s="1"/>
  <c r="AE126" s="1"/>
  <c r="AE127" s="1"/>
  <c r="AE128" s="1"/>
  <c r="AE129" s="1"/>
  <c r="AE130" s="1"/>
  <c r="AE131" s="1"/>
  <c r="AE132" s="1"/>
  <c r="AE133" s="1"/>
  <c r="AE134" s="1"/>
  <c r="AE135" s="1"/>
  <c r="AE136" s="1"/>
  <c r="AE137" s="1"/>
  <c r="AE138" s="1"/>
  <c r="AE139" s="1"/>
  <c r="AE140" s="1"/>
  <c r="AE141" s="1"/>
  <c r="AE142" s="1"/>
  <c r="AE143" s="1"/>
  <c r="AE144" s="1"/>
  <c r="AE145" s="1"/>
  <c r="AE146" s="1"/>
  <c r="AE147" s="1"/>
  <c r="AE148" s="1"/>
  <c r="AE149" s="1"/>
  <c r="AE150" s="1"/>
  <c r="AE151" s="1"/>
  <c r="AE152" s="1"/>
  <c r="AE153" s="1"/>
  <c r="AE154" s="1"/>
  <c r="AE155" s="1"/>
  <c r="AE156" s="1"/>
  <c r="AE157" s="1"/>
  <c r="AE158" s="1"/>
  <c r="AE159" s="1"/>
  <c r="AE160" s="1"/>
  <c r="AE161" s="1"/>
  <c r="AE162" s="1"/>
  <c r="AE163" s="1"/>
  <c r="AE164" s="1"/>
  <c r="AE165" s="1"/>
  <c r="AE166" s="1"/>
  <c r="AE167" s="1"/>
  <c r="AE168" s="1"/>
  <c r="AE169" s="1"/>
  <c r="AE170" s="1"/>
  <c r="AE171" s="1"/>
  <c r="AE172" s="1"/>
  <c r="AE173" s="1"/>
  <c r="AE174" s="1"/>
  <c r="AE175" s="1"/>
  <c r="AE176" s="1"/>
  <c r="AE177" s="1"/>
  <c r="AE178" s="1"/>
  <c r="AE179" s="1"/>
  <c r="AE180" s="1"/>
  <c r="AE181" s="1"/>
  <c r="AE182" s="1"/>
  <c r="AE183" s="1"/>
  <c r="AE184" s="1"/>
  <c r="AE185" s="1"/>
  <c r="AE186" s="1"/>
  <c r="AE187" s="1"/>
  <c r="AE188" s="1"/>
  <c r="AE189" s="1"/>
  <c r="AE190" s="1"/>
  <c r="AE191" s="1"/>
  <c r="AE192" s="1"/>
  <c r="AE193" s="1"/>
  <c r="AE194" s="1"/>
  <c r="AE195" s="1"/>
  <c r="AE196" s="1"/>
  <c r="AE197" s="1"/>
  <c r="AE198" s="1"/>
  <c r="AE199" s="1"/>
  <c r="AE200" s="1"/>
  <c r="AE201" s="1"/>
  <c r="AE202" s="1"/>
  <c r="AE203" s="1"/>
  <c r="AE204" s="1"/>
  <c r="AE205" s="1"/>
  <c r="AE206" s="1"/>
  <c r="AE207" s="1"/>
  <c r="AE208" s="1"/>
  <c r="AE209" s="1"/>
  <c r="AE210" s="1"/>
  <c r="AE211" s="1"/>
  <c r="AE212" s="1"/>
  <c r="AE213" s="1"/>
  <c r="AE214" s="1"/>
  <c r="AE215" s="1"/>
  <c r="AE216" s="1"/>
  <c r="AE217" s="1"/>
  <c r="AE218" s="1"/>
  <c r="AE219" s="1"/>
  <c r="AE220" s="1"/>
  <c r="AE221" s="1"/>
  <c r="AE222" s="1"/>
  <c r="AE223" s="1"/>
  <c r="AE224" s="1"/>
  <c r="AE225" s="1"/>
  <c r="AE226" s="1"/>
  <c r="AE227" s="1"/>
  <c r="AE228" s="1"/>
  <c r="AE229" s="1"/>
  <c r="AE230" s="1"/>
  <c r="AE231" s="1"/>
  <c r="AE232" s="1"/>
  <c r="AE233" s="1"/>
  <c r="AE234" s="1"/>
  <c r="AE235" s="1"/>
  <c r="AE236" s="1"/>
  <c r="AE237" s="1"/>
  <c r="AE238" s="1"/>
  <c r="AE239" s="1"/>
  <c r="AE240" s="1"/>
  <c r="AE241" s="1"/>
  <c r="AE242" s="1"/>
  <c r="AE243" s="1"/>
  <c r="AE244" s="1"/>
  <c r="AE245" s="1"/>
  <c r="AE246" s="1"/>
  <c r="AE247" s="1"/>
  <c r="AE248" s="1"/>
  <c r="AE249" s="1"/>
  <c r="AE250" s="1"/>
  <c r="AE251" s="1"/>
  <c r="AE252" s="1"/>
  <c r="AE253" s="1"/>
  <c r="X7" l="1"/>
  <c r="M7" s="1"/>
  <c r="AD5"/>
  <c r="O5" s="1"/>
  <c r="P5" s="1"/>
  <c r="Q5" s="1"/>
  <c r="AR5"/>
  <c r="X8" l="1"/>
  <c r="M8" s="1"/>
  <c r="AD6"/>
  <c r="O6" s="1"/>
  <c r="P6" s="1"/>
  <c r="Q6" s="1"/>
  <c r="AK6"/>
  <c r="AR6"/>
  <c r="X9" l="1"/>
  <c r="M9" s="1"/>
  <c r="AD7"/>
  <c r="O7" s="1"/>
  <c r="P7" s="1"/>
  <c r="Q7" s="1"/>
  <c r="AR7"/>
  <c r="AK7"/>
  <c r="X10" l="1"/>
  <c r="M10" s="1"/>
  <c r="AD8"/>
  <c r="O8" s="1"/>
  <c r="P8" s="1"/>
  <c r="Q8" s="1"/>
  <c r="AR8"/>
  <c r="AK8"/>
  <c r="X11" l="1"/>
  <c r="M11" s="1"/>
  <c r="AR9"/>
  <c r="AD9"/>
  <c r="O9" s="1"/>
  <c r="P9" s="1"/>
  <c r="Q9" s="1"/>
  <c r="AK9"/>
  <c r="X12" l="1"/>
  <c r="M12" s="1"/>
  <c r="AD10"/>
  <c r="O10" s="1"/>
  <c r="P10" s="1"/>
  <c r="Q10" s="1"/>
  <c r="AR10"/>
  <c r="AK10"/>
  <c r="X13" l="1"/>
  <c r="M13" s="1"/>
  <c r="AD11"/>
  <c r="O11" s="1"/>
  <c r="P11" s="1"/>
  <c r="Q11" s="1"/>
  <c r="AK11"/>
  <c r="AR11"/>
  <c r="X14" l="1"/>
  <c r="M14" s="1"/>
  <c r="AK12"/>
  <c r="AR12"/>
  <c r="AD12"/>
  <c r="O12" s="1"/>
  <c r="P12" s="1"/>
  <c r="Q12" s="1"/>
  <c r="X15" l="1"/>
  <c r="M15" s="1"/>
  <c r="AD13"/>
  <c r="O13" s="1"/>
  <c r="P13" s="1"/>
  <c r="Q13" s="1"/>
  <c r="AR13"/>
  <c r="AK13"/>
  <c r="X16" l="1"/>
  <c r="M16" s="1"/>
  <c r="AD14"/>
  <c r="O14" s="1"/>
  <c r="P14" s="1"/>
  <c r="Q14" s="1"/>
  <c r="AR14"/>
  <c r="AK14"/>
  <c r="X17" l="1"/>
  <c r="M17" s="1"/>
  <c r="AK15"/>
  <c r="AR15"/>
  <c r="AD15"/>
  <c r="O15" s="1"/>
  <c r="P15" s="1"/>
  <c r="Q15" s="1"/>
  <c r="X18" l="1"/>
  <c r="M18" s="1"/>
  <c r="AD16"/>
  <c r="O16" s="1"/>
  <c r="P16" s="1"/>
  <c r="Q16" s="1"/>
  <c r="AK16"/>
  <c r="AR16"/>
  <c r="X19" l="1"/>
  <c r="M19" s="1"/>
  <c r="AR17"/>
  <c r="AK17"/>
  <c r="AD17"/>
  <c r="O17" s="1"/>
  <c r="P17" s="1"/>
  <c r="Q17" s="1"/>
  <c r="X20" l="1"/>
  <c r="M20" s="1"/>
  <c r="AK18"/>
  <c r="AD18"/>
  <c r="O18" s="1"/>
  <c r="P18" s="1"/>
  <c r="Q18" s="1"/>
  <c r="AR18"/>
  <c r="X21" l="1"/>
  <c r="M21" s="1"/>
  <c r="AK19"/>
  <c r="AD19"/>
  <c r="O19" s="1"/>
  <c r="P19" s="1"/>
  <c r="Q19" s="1"/>
  <c r="AR19"/>
  <c r="X22" l="1"/>
  <c r="M22" s="1"/>
  <c r="AR20"/>
  <c r="AK20"/>
  <c r="AD20"/>
  <c r="O20" s="1"/>
  <c r="P20" s="1"/>
  <c r="Q20" s="1"/>
  <c r="X23" l="1"/>
  <c r="M23" s="1"/>
  <c r="AR21"/>
  <c r="AD21"/>
  <c r="O21" s="1"/>
  <c r="P21" s="1"/>
  <c r="Q21" s="1"/>
  <c r="AK21"/>
  <c r="X24" l="1"/>
  <c r="M24" s="1"/>
  <c r="AD22"/>
  <c r="O22" s="1"/>
  <c r="P22" s="1"/>
  <c r="Q22" s="1"/>
  <c r="AR22"/>
  <c r="AK22"/>
  <c r="X25" l="1"/>
  <c r="M25" s="1"/>
  <c r="AR23"/>
  <c r="AD23"/>
  <c r="O23" s="1"/>
  <c r="P23" s="1"/>
  <c r="Q23" s="1"/>
  <c r="AK23"/>
  <c r="X26" l="1"/>
  <c r="M26" s="1"/>
  <c r="AD24"/>
  <c r="O24" s="1"/>
  <c r="P24" s="1"/>
  <c r="Q24" s="1"/>
  <c r="AR24"/>
  <c r="AK24"/>
  <c r="X27" l="1"/>
  <c r="M27" s="1"/>
  <c r="AK25"/>
  <c r="AD25"/>
  <c r="O25" s="1"/>
  <c r="P25" s="1"/>
  <c r="Q25" s="1"/>
  <c r="AR25"/>
  <c r="X28" l="1"/>
  <c r="M28" s="1"/>
  <c r="AD26"/>
  <c r="O26" s="1"/>
  <c r="P26" s="1"/>
  <c r="Q26" s="1"/>
  <c r="AK26"/>
  <c r="AR26"/>
  <c r="X29" l="1"/>
  <c r="M29" s="1"/>
  <c r="W28"/>
  <c r="N28" s="1"/>
  <c r="AD27"/>
  <c r="O27" s="1"/>
  <c r="P27" s="1"/>
  <c r="Q27" s="1"/>
  <c r="AK27"/>
  <c r="AR27"/>
  <c r="X30" l="1"/>
  <c r="M30" s="1"/>
  <c r="AK28"/>
  <c r="AR28"/>
  <c r="AD28"/>
  <c r="O28" s="1"/>
  <c r="P28" s="1"/>
  <c r="Q28" s="1"/>
  <c r="X31" l="1"/>
  <c r="M31" s="1"/>
  <c r="AR29"/>
  <c r="AD29"/>
  <c r="O29" s="1"/>
  <c r="P29" s="1"/>
  <c r="Q29" s="1"/>
  <c r="AK29"/>
  <c r="X32" l="1"/>
  <c r="M32" s="1"/>
  <c r="AD30"/>
  <c r="O30" s="1"/>
  <c r="P30" s="1"/>
  <c r="Q30" s="1"/>
  <c r="AK30"/>
  <c r="AR30"/>
  <c r="X33" l="1"/>
  <c r="M33" s="1"/>
  <c r="AD31"/>
  <c r="O31" s="1"/>
  <c r="P31" s="1"/>
  <c r="Q31" s="1"/>
  <c r="AK31"/>
  <c r="AR31"/>
  <c r="X34" l="1"/>
  <c r="M34" s="1"/>
  <c r="AK32"/>
  <c r="AR32"/>
  <c r="AD32"/>
  <c r="O32" s="1"/>
  <c r="P32" s="1"/>
  <c r="Q32" s="1"/>
  <c r="X35" l="1"/>
  <c r="M35" s="1"/>
  <c r="AR33"/>
  <c r="AD33"/>
  <c r="O33" s="1"/>
  <c r="P33" s="1"/>
  <c r="Q33" s="1"/>
  <c r="AK33"/>
  <c r="X36" l="1"/>
  <c r="M36" s="1"/>
  <c r="AD34"/>
  <c r="O34" s="1"/>
  <c r="P34" s="1"/>
  <c r="Q34" s="1"/>
  <c r="AR34"/>
  <c r="AK34"/>
  <c r="X37" l="1"/>
  <c r="M37" s="1"/>
  <c r="AD35"/>
  <c r="O35" s="1"/>
  <c r="P35" s="1"/>
  <c r="Q35" s="1"/>
  <c r="AR35"/>
  <c r="AK35"/>
  <c r="X38" l="1"/>
  <c r="M38" s="1"/>
  <c r="AD36"/>
  <c r="O36" s="1"/>
  <c r="P36" s="1"/>
  <c r="Q36" s="1"/>
  <c r="AR36"/>
  <c r="AK36"/>
  <c r="X39" l="1"/>
  <c r="M39" s="1"/>
  <c r="AD37"/>
  <c r="O37" s="1"/>
  <c r="P37" s="1"/>
  <c r="Q37" s="1"/>
  <c r="AR37"/>
  <c r="AK37"/>
  <c r="X40" l="1"/>
  <c r="M40" s="1"/>
  <c r="AD38"/>
  <c r="O38" s="1"/>
  <c r="P38" s="1"/>
  <c r="Q38" s="1"/>
  <c r="AR38"/>
  <c r="AK38"/>
  <c r="X41" l="1"/>
  <c r="M41" s="1"/>
  <c r="AD39"/>
  <c r="O39" s="1"/>
  <c r="P39" s="1"/>
  <c r="Q39" s="1"/>
  <c r="AR39"/>
  <c r="AK39"/>
  <c r="X42" l="1"/>
  <c r="M42" s="1"/>
  <c r="AD40"/>
  <c r="O40" s="1"/>
  <c r="P40" s="1"/>
  <c r="Q40" s="1"/>
  <c r="AR40"/>
  <c r="AK40"/>
  <c r="X43" l="1"/>
  <c r="M43" s="1"/>
  <c r="AD41"/>
  <c r="O41" s="1"/>
  <c r="P41" s="1"/>
  <c r="Q41" s="1"/>
  <c r="AR41"/>
  <c r="AK41"/>
  <c r="X44" l="1"/>
  <c r="M44" s="1"/>
  <c r="AR42"/>
  <c r="AD42"/>
  <c r="O42" s="1"/>
  <c r="P42" s="1"/>
  <c r="Q42" s="1"/>
  <c r="AK42"/>
  <c r="X45" l="1"/>
  <c r="M45" s="1"/>
  <c r="AR43"/>
  <c r="AD43"/>
  <c r="O43" s="1"/>
  <c r="P43" s="1"/>
  <c r="Q43" s="1"/>
  <c r="AK43"/>
  <c r="X46" l="1"/>
  <c r="M46" s="1"/>
  <c r="AD44"/>
  <c r="O44" s="1"/>
  <c r="P44" s="1"/>
  <c r="Q44" s="1"/>
  <c r="AR44"/>
  <c r="AK44"/>
  <c r="X47" l="1"/>
  <c r="M47" s="1"/>
  <c r="AR45"/>
  <c r="AD45"/>
  <c r="O45" s="1"/>
  <c r="P45" s="1"/>
  <c r="Q45" s="1"/>
  <c r="AK45"/>
  <c r="X48" l="1"/>
  <c r="M48" s="1"/>
  <c r="AR46"/>
  <c r="AD46"/>
  <c r="O46" s="1"/>
  <c r="P46" s="1"/>
  <c r="Q46" s="1"/>
  <c r="AK46"/>
  <c r="X49" l="1"/>
  <c r="M49" s="1"/>
  <c r="AD47"/>
  <c r="O47" s="1"/>
  <c r="P47" s="1"/>
  <c r="Q47" s="1"/>
  <c r="AR47"/>
  <c r="AK47"/>
  <c r="X50" l="1"/>
  <c r="M50" s="1"/>
  <c r="AR48"/>
  <c r="AD48"/>
  <c r="O48" s="1"/>
  <c r="P48" s="1"/>
  <c r="Q48" s="1"/>
  <c r="AK48"/>
  <c r="X51" l="1"/>
  <c r="M51" s="1"/>
  <c r="AR49"/>
  <c r="AD49"/>
  <c r="O49" s="1"/>
  <c r="P49" s="1"/>
  <c r="Q49" s="1"/>
  <c r="AK49"/>
  <c r="X52" l="1"/>
  <c r="M52" s="1"/>
  <c r="AD50"/>
  <c r="O50" s="1"/>
  <c r="P50" s="1"/>
  <c r="Q50" s="1"/>
  <c r="AR50"/>
  <c r="AK50"/>
  <c r="X53" l="1"/>
  <c r="M53" s="1"/>
  <c r="AR51"/>
  <c r="AD51"/>
  <c r="O51" s="1"/>
  <c r="P51" s="1"/>
  <c r="Q51" s="1"/>
  <c r="AK51"/>
  <c r="X54" l="1"/>
  <c r="M54" s="1"/>
  <c r="AR52"/>
  <c r="AD52"/>
  <c r="O52" s="1"/>
  <c r="P52" s="1"/>
  <c r="Q52" s="1"/>
  <c r="AK52"/>
  <c r="X55" l="1"/>
  <c r="M55" s="1"/>
  <c r="AD53"/>
  <c r="O53" s="1"/>
  <c r="P53" s="1"/>
  <c r="Q53" s="1"/>
  <c r="AR53"/>
  <c r="AK53"/>
  <c r="X56" l="1"/>
  <c r="M56" s="1"/>
  <c r="AR54"/>
  <c r="AD54"/>
  <c r="O54" s="1"/>
  <c r="P54" s="1"/>
  <c r="Q54" s="1"/>
  <c r="AK54"/>
  <c r="X57" l="1"/>
  <c r="M57" s="1"/>
  <c r="AR55"/>
  <c r="AD55"/>
  <c r="O55" s="1"/>
  <c r="P55" s="1"/>
  <c r="Q55" s="1"/>
  <c r="AK55"/>
  <c r="X58" l="1"/>
  <c r="M58" s="1"/>
  <c r="AD56"/>
  <c r="O56" s="1"/>
  <c r="P56" s="1"/>
  <c r="Q56" s="1"/>
  <c r="AR56"/>
  <c r="AK56"/>
  <c r="X59" l="1"/>
  <c r="M59" s="1"/>
  <c r="AR57"/>
  <c r="AD57"/>
  <c r="O57" s="1"/>
  <c r="P57" s="1"/>
  <c r="Q57" s="1"/>
  <c r="AK57"/>
  <c r="X60" l="1"/>
  <c r="M60" s="1"/>
  <c r="AR58"/>
  <c r="AD58"/>
  <c r="O58" s="1"/>
  <c r="P58" s="1"/>
  <c r="Q58" s="1"/>
  <c r="AK58"/>
  <c r="X61" l="1"/>
  <c r="M61" s="1"/>
  <c r="AD59"/>
  <c r="O59" s="1"/>
  <c r="P59" s="1"/>
  <c r="Q59" s="1"/>
  <c r="AR59"/>
  <c r="AK59"/>
  <c r="X62" l="1"/>
  <c r="M62" s="1"/>
  <c r="AR60"/>
  <c r="AD60"/>
  <c r="O60" s="1"/>
  <c r="P60" s="1"/>
  <c r="Q60" s="1"/>
  <c r="AK60"/>
  <c r="X63" l="1"/>
  <c r="M63" s="1"/>
  <c r="AR61"/>
  <c r="AD61"/>
  <c r="O61" s="1"/>
  <c r="P61" s="1"/>
  <c r="Q61" s="1"/>
  <c r="AK61"/>
  <c r="X64" l="1"/>
  <c r="M64" s="1"/>
  <c r="AD62"/>
  <c r="O62" s="1"/>
  <c r="P62" s="1"/>
  <c r="Q62" s="1"/>
  <c r="AR62"/>
  <c r="AK62"/>
  <c r="X65" l="1"/>
  <c r="M65" s="1"/>
  <c r="AR63"/>
  <c r="AD63"/>
  <c r="O63" s="1"/>
  <c r="P63" s="1"/>
  <c r="Q63" s="1"/>
  <c r="AK63"/>
  <c r="X66" l="1"/>
  <c r="M66" s="1"/>
  <c r="AR64"/>
  <c r="AD64"/>
  <c r="O64" s="1"/>
  <c r="P64" s="1"/>
  <c r="Q64" s="1"/>
  <c r="AK64"/>
  <c r="X67" l="1"/>
  <c r="M67" s="1"/>
  <c r="AD65"/>
  <c r="O65" s="1"/>
  <c r="P65" s="1"/>
  <c r="Q65" s="1"/>
  <c r="AR65"/>
  <c r="AK65"/>
  <c r="X68" l="1"/>
  <c r="M68" s="1"/>
  <c r="AR66"/>
  <c r="AD66"/>
  <c r="O66" s="1"/>
  <c r="P66" s="1"/>
  <c r="Q66" s="1"/>
  <c r="AK66"/>
  <c r="X69" l="1"/>
  <c r="M69" s="1"/>
  <c r="AR67"/>
  <c r="AD67"/>
  <c r="O67" s="1"/>
  <c r="P67" s="1"/>
  <c r="Q67" s="1"/>
  <c r="AK67"/>
  <c r="X70" l="1"/>
  <c r="M70" s="1"/>
  <c r="AD68"/>
  <c r="O68" s="1"/>
  <c r="P68" s="1"/>
  <c r="Q68" s="1"/>
  <c r="AR68"/>
  <c r="AK68"/>
  <c r="X71" l="1"/>
  <c r="M71" s="1"/>
  <c r="AR69"/>
  <c r="AD69"/>
  <c r="O69" s="1"/>
  <c r="P69" s="1"/>
  <c r="Q69" s="1"/>
  <c r="AK69"/>
  <c r="X72" l="1"/>
  <c r="M72" s="1"/>
  <c r="AD70"/>
  <c r="O70" s="1"/>
  <c r="P70" s="1"/>
  <c r="Q70" s="1"/>
  <c r="AR70"/>
  <c r="AK70"/>
  <c r="X73" l="1"/>
  <c r="M73" s="1"/>
  <c r="AD71"/>
  <c r="O71" s="1"/>
  <c r="P71" s="1"/>
  <c r="Q71" s="1"/>
  <c r="AR71"/>
  <c r="AK71"/>
  <c r="X74" l="1"/>
  <c r="M74" s="1"/>
  <c r="AR72"/>
  <c r="AK72"/>
  <c r="AD72"/>
  <c r="O72" s="1"/>
  <c r="P72" s="1"/>
  <c r="Q72" s="1"/>
  <c r="X75" l="1"/>
  <c r="M75" s="1"/>
  <c r="AD73"/>
  <c r="O73" s="1"/>
  <c r="P73" s="1"/>
  <c r="Q73" s="1"/>
  <c r="AK73"/>
  <c r="AR73"/>
  <c r="X76" l="1"/>
  <c r="M76" s="1"/>
  <c r="AD74"/>
  <c r="O74" s="1"/>
  <c r="P74" s="1"/>
  <c r="Q74" s="1"/>
  <c r="AR74"/>
  <c r="AK74"/>
  <c r="X77" l="1"/>
  <c r="M77" s="1"/>
  <c r="AR75"/>
  <c r="AK75"/>
  <c r="AD75"/>
  <c r="O75" s="1"/>
  <c r="P75" s="1"/>
  <c r="Q75" s="1"/>
  <c r="X78" l="1"/>
  <c r="M78" s="1"/>
  <c r="AD76"/>
  <c r="O76" s="1"/>
  <c r="P76" s="1"/>
  <c r="Q76" s="1"/>
  <c r="AK76"/>
  <c r="AR76"/>
  <c r="X79" l="1"/>
  <c r="M79" s="1"/>
  <c r="AR77"/>
  <c r="AD77"/>
  <c r="O77" s="1"/>
  <c r="P77" s="1"/>
  <c r="Q77" s="1"/>
  <c r="AK77"/>
  <c r="X80" l="1"/>
  <c r="M80" s="1"/>
  <c r="AD78"/>
  <c r="O78" s="1"/>
  <c r="P78" s="1"/>
  <c r="Q78" s="1"/>
  <c r="AR78"/>
  <c r="AK78"/>
  <c r="X81" l="1"/>
  <c r="M81" s="1"/>
  <c r="AR79"/>
  <c r="AD79"/>
  <c r="O79" s="1"/>
  <c r="P79" s="1"/>
  <c r="Q79" s="1"/>
  <c r="AK79"/>
  <c r="X82" l="1"/>
  <c r="M82" s="1"/>
  <c r="AR80"/>
  <c r="AD80"/>
  <c r="O80" s="1"/>
  <c r="P80" s="1"/>
  <c r="Q80" s="1"/>
  <c r="AK80"/>
  <c r="X83" l="1"/>
  <c r="M83" s="1"/>
  <c r="AD81"/>
  <c r="O81" s="1"/>
  <c r="P81" s="1"/>
  <c r="Q81" s="1"/>
  <c r="AR81"/>
  <c r="AK81"/>
  <c r="X84" l="1"/>
  <c r="M84" s="1"/>
  <c r="AR82"/>
  <c r="AD82"/>
  <c r="O82" s="1"/>
  <c r="P82" s="1"/>
  <c r="Q82" s="1"/>
  <c r="AK82"/>
  <c r="X85" l="1"/>
  <c r="M85" s="1"/>
  <c r="AR83"/>
  <c r="AD83"/>
  <c r="O83" s="1"/>
  <c r="P83" s="1"/>
  <c r="Q83" s="1"/>
  <c r="AK83"/>
  <c r="X86" l="1"/>
  <c r="M86" s="1"/>
  <c r="AD84"/>
  <c r="O84" s="1"/>
  <c r="P84" s="1"/>
  <c r="Q84" s="1"/>
  <c r="AR84"/>
  <c r="AK84"/>
  <c r="X87" l="1"/>
  <c r="M87" s="1"/>
  <c r="AR85"/>
  <c r="AD85"/>
  <c r="O85" s="1"/>
  <c r="P85" s="1"/>
  <c r="Q85" s="1"/>
  <c r="AK85"/>
  <c r="X88" l="1"/>
  <c r="M88" s="1"/>
  <c r="AR86"/>
  <c r="AK86"/>
  <c r="AD86"/>
  <c r="O86" s="1"/>
  <c r="P86" s="1"/>
  <c r="Q86" s="1"/>
  <c r="X89" l="1"/>
  <c r="M89" s="1"/>
  <c r="AR87"/>
  <c r="AK87"/>
  <c r="AD87"/>
  <c r="O87" s="1"/>
  <c r="P87" s="1"/>
  <c r="Q87" s="1"/>
  <c r="X90" l="1"/>
  <c r="M90" s="1"/>
  <c r="AK88"/>
  <c r="AR88"/>
  <c r="AD88"/>
  <c r="O88" s="1"/>
  <c r="P88" s="1"/>
  <c r="Q88" s="1"/>
  <c r="X91" l="1"/>
  <c r="M91" s="1"/>
  <c r="AR89"/>
  <c r="AK89"/>
  <c r="AD89"/>
  <c r="O89" s="1"/>
  <c r="P89" s="1"/>
  <c r="Q89" s="1"/>
  <c r="X92" l="1"/>
  <c r="M92" s="1"/>
  <c r="AR90"/>
  <c r="AK90"/>
  <c r="AD90"/>
  <c r="O90" s="1"/>
  <c r="P90" s="1"/>
  <c r="Q90" s="1"/>
  <c r="X93" l="1"/>
  <c r="M93" s="1"/>
  <c r="AK91"/>
  <c r="AR91"/>
  <c r="AD91"/>
  <c r="O91" s="1"/>
  <c r="P91" s="1"/>
  <c r="Q91" s="1"/>
  <c r="X94" l="1"/>
  <c r="M94" s="1"/>
  <c r="AR92"/>
  <c r="AK92"/>
  <c r="AD92"/>
  <c r="O92" s="1"/>
  <c r="P92" s="1"/>
  <c r="Q92" s="1"/>
  <c r="X95" l="1"/>
  <c r="M95" s="1"/>
  <c r="AR93"/>
  <c r="AK93"/>
  <c r="AD93"/>
  <c r="O93" s="1"/>
  <c r="P93" s="1"/>
  <c r="Q93" s="1"/>
  <c r="X96" l="1"/>
  <c r="M96" s="1"/>
  <c r="AK94"/>
  <c r="AR94"/>
  <c r="AD94"/>
  <c r="O94" s="1"/>
  <c r="P94" s="1"/>
  <c r="Q94" s="1"/>
  <c r="X97" l="1"/>
  <c r="M97" s="1"/>
  <c r="AR95"/>
  <c r="AK95"/>
  <c r="AD95"/>
  <c r="O95" s="1"/>
  <c r="P95" s="1"/>
  <c r="Q95" s="1"/>
  <c r="X98" l="1"/>
  <c r="M98" s="1"/>
  <c r="AR96"/>
  <c r="AK96"/>
  <c r="AD96"/>
  <c r="O96" s="1"/>
  <c r="P96" s="1"/>
  <c r="Q96" s="1"/>
  <c r="X99" l="1"/>
  <c r="M99" s="1"/>
  <c r="AK97"/>
  <c r="AR97"/>
  <c r="AD97"/>
  <c r="O97" s="1"/>
  <c r="P97" s="1"/>
  <c r="Q97" s="1"/>
  <c r="X100" l="1"/>
  <c r="M100" s="1"/>
  <c r="AR98"/>
  <c r="AK98"/>
  <c r="AD98"/>
  <c r="O98" s="1"/>
  <c r="P98" s="1"/>
  <c r="Q98" s="1"/>
  <c r="X101" l="1"/>
  <c r="M101" s="1"/>
  <c r="AR99"/>
  <c r="AK99"/>
  <c r="AD99"/>
  <c r="O99" s="1"/>
  <c r="P99" s="1"/>
  <c r="Q99" s="1"/>
  <c r="X102" l="1"/>
  <c r="M102" s="1"/>
  <c r="AK100"/>
  <c r="AR100"/>
  <c r="AD100"/>
  <c r="O100" s="1"/>
  <c r="P100" s="1"/>
  <c r="Q100" s="1"/>
  <c r="X103" l="1"/>
  <c r="M103" s="1"/>
  <c r="AR101"/>
  <c r="AK101"/>
  <c r="AD101"/>
  <c r="O101" s="1"/>
  <c r="P101" s="1"/>
  <c r="Q101" s="1"/>
  <c r="X104" l="1"/>
  <c r="M104" s="1"/>
  <c r="AR102"/>
  <c r="AK102"/>
  <c r="AD102"/>
  <c r="O102" s="1"/>
  <c r="P102" s="1"/>
  <c r="Q102" s="1"/>
  <c r="X105" l="1"/>
  <c r="M105" s="1"/>
  <c r="AK103"/>
  <c r="AR103"/>
  <c r="AD103"/>
  <c r="O103" s="1"/>
  <c r="P103" s="1"/>
  <c r="Q103" s="1"/>
  <c r="X106" l="1"/>
  <c r="M106" s="1"/>
  <c r="AR104"/>
  <c r="AK104"/>
  <c r="AD104"/>
  <c r="O104" s="1"/>
  <c r="P104" s="1"/>
  <c r="Q104" s="1"/>
  <c r="X107" l="1"/>
  <c r="M107" s="1"/>
  <c r="AR105"/>
  <c r="AK105"/>
  <c r="AD105"/>
  <c r="O105" s="1"/>
  <c r="P105" s="1"/>
  <c r="Q105" s="1"/>
  <c r="X108" l="1"/>
  <c r="M108" s="1"/>
  <c r="AK106"/>
  <c r="AR106"/>
  <c r="AD106"/>
  <c r="O106" s="1"/>
  <c r="P106" s="1"/>
  <c r="Q106" s="1"/>
  <c r="X109" l="1"/>
  <c r="M109" s="1"/>
  <c r="AR107"/>
  <c r="AD107"/>
  <c r="O107" s="1"/>
  <c r="P107" s="1"/>
  <c r="Q107" s="1"/>
  <c r="AK107"/>
  <c r="X110" l="1"/>
  <c r="M110" s="1"/>
  <c r="AD108"/>
  <c r="O108" s="1"/>
  <c r="P108" s="1"/>
  <c r="Q108" s="1"/>
  <c r="AR108"/>
  <c r="AK108"/>
  <c r="X111" l="1"/>
  <c r="M111" s="1"/>
  <c r="AD109"/>
  <c r="O109" s="1"/>
  <c r="P109" s="1"/>
  <c r="Q109" s="1"/>
  <c r="AR109"/>
  <c r="AK109"/>
  <c r="X112" l="1"/>
  <c r="M112" s="1"/>
  <c r="AR110"/>
  <c r="AD110"/>
  <c r="O110" s="1"/>
  <c r="P110" s="1"/>
  <c r="Q110" s="1"/>
  <c r="AK110"/>
  <c r="X113" l="1"/>
  <c r="M113" s="1"/>
  <c r="AD111"/>
  <c r="O111" s="1"/>
  <c r="P111" s="1"/>
  <c r="Q111" s="1"/>
  <c r="AR111"/>
  <c r="AK111"/>
  <c r="X114" l="1"/>
  <c r="M114" s="1"/>
  <c r="AD112"/>
  <c r="O112" s="1"/>
  <c r="P112" s="1"/>
  <c r="Q112" s="1"/>
  <c r="AR112"/>
  <c r="AK112"/>
  <c r="X115" l="1"/>
  <c r="M115" s="1"/>
  <c r="AR113"/>
  <c r="AD113"/>
  <c r="O113" s="1"/>
  <c r="P113" s="1"/>
  <c r="Q113" s="1"/>
  <c r="AK113"/>
  <c r="X116" l="1"/>
  <c r="M116" s="1"/>
  <c r="AD114"/>
  <c r="O114" s="1"/>
  <c r="P114" s="1"/>
  <c r="Q114" s="1"/>
  <c r="AR114"/>
  <c r="AK114"/>
  <c r="X117" l="1"/>
  <c r="M117" s="1"/>
  <c r="AD115"/>
  <c r="O115" s="1"/>
  <c r="P115" s="1"/>
  <c r="Q115" s="1"/>
  <c r="AR115"/>
  <c r="AK115"/>
  <c r="X118" l="1"/>
  <c r="M118" s="1"/>
  <c r="AR116"/>
  <c r="AD116"/>
  <c r="O116" s="1"/>
  <c r="P116" s="1"/>
  <c r="Q116" s="1"/>
  <c r="AK116"/>
  <c r="X119" l="1"/>
  <c r="M119" s="1"/>
  <c r="AD117"/>
  <c r="O117" s="1"/>
  <c r="P117" s="1"/>
  <c r="Q117" s="1"/>
  <c r="AR117"/>
  <c r="AK117"/>
  <c r="X120" l="1"/>
  <c r="M120" s="1"/>
  <c r="AD118"/>
  <c r="O118" s="1"/>
  <c r="P118" s="1"/>
  <c r="Q118" s="1"/>
  <c r="AR118"/>
  <c r="AK118"/>
  <c r="X121" l="1"/>
  <c r="M121" s="1"/>
  <c r="AR119"/>
  <c r="AD119"/>
  <c r="O119" s="1"/>
  <c r="P119" s="1"/>
  <c r="Q119" s="1"/>
  <c r="AK119"/>
  <c r="X122" l="1"/>
  <c r="M122" s="1"/>
  <c r="AD120"/>
  <c r="O120" s="1"/>
  <c r="P120" s="1"/>
  <c r="Q120" s="1"/>
  <c r="AR120"/>
  <c r="AK120"/>
  <c r="X123" l="1"/>
  <c r="M123" s="1"/>
  <c r="AD121"/>
  <c r="O121" s="1"/>
  <c r="P121" s="1"/>
  <c r="Q121" s="1"/>
  <c r="AR121"/>
  <c r="AK121"/>
  <c r="X124" l="1"/>
  <c r="M124" s="1"/>
  <c r="AR122"/>
  <c r="AD122"/>
  <c r="O122" s="1"/>
  <c r="P122" s="1"/>
  <c r="Q122" s="1"/>
  <c r="AK122"/>
  <c r="X125" l="1"/>
  <c r="M125" s="1"/>
  <c r="AD123"/>
  <c r="O123" s="1"/>
  <c r="P123" s="1"/>
  <c r="Q123" s="1"/>
  <c r="AR123"/>
  <c r="AK123"/>
  <c r="X126" l="1"/>
  <c r="M126" s="1"/>
  <c r="AR124"/>
  <c r="AD124"/>
  <c r="O124" s="1"/>
  <c r="P124" s="1"/>
  <c r="Q124" s="1"/>
  <c r="AK124"/>
  <c r="X127" l="1"/>
  <c r="M127" s="1"/>
  <c r="AR125"/>
  <c r="AD125"/>
  <c r="O125" s="1"/>
  <c r="P125" s="1"/>
  <c r="Q125" s="1"/>
  <c r="AK125"/>
  <c r="X128" l="1"/>
  <c r="M128" s="1"/>
  <c r="AD126"/>
  <c r="O126" s="1"/>
  <c r="P126" s="1"/>
  <c r="Q126" s="1"/>
  <c r="AR126"/>
  <c r="AK126"/>
  <c r="X129" l="1"/>
  <c r="M129" s="1"/>
  <c r="AR127"/>
  <c r="AD127"/>
  <c r="O127" s="1"/>
  <c r="P127" s="1"/>
  <c r="Q127" s="1"/>
  <c r="AK127"/>
  <c r="X130" l="1"/>
  <c r="M130" s="1"/>
  <c r="AR128"/>
  <c r="AD128"/>
  <c r="O128" s="1"/>
  <c r="P128" s="1"/>
  <c r="Q128" s="1"/>
  <c r="AK128"/>
  <c r="X131" l="1"/>
  <c r="M131" s="1"/>
  <c r="AD129"/>
  <c r="O129" s="1"/>
  <c r="P129" s="1"/>
  <c r="Q129" s="1"/>
  <c r="AR129"/>
  <c r="AK129"/>
  <c r="X132" l="1"/>
  <c r="M132" s="1"/>
  <c r="AR130"/>
  <c r="AD130"/>
  <c r="O130" s="1"/>
  <c r="P130" s="1"/>
  <c r="Q130" s="1"/>
  <c r="AK130"/>
  <c r="X133" l="1"/>
  <c r="M133" s="1"/>
  <c r="AR131"/>
  <c r="AD131"/>
  <c r="O131" s="1"/>
  <c r="P131" s="1"/>
  <c r="Q131" s="1"/>
  <c r="AK131"/>
  <c r="X134" l="1"/>
  <c r="M134" s="1"/>
  <c r="AD132"/>
  <c r="O132" s="1"/>
  <c r="P132" s="1"/>
  <c r="Q132" s="1"/>
  <c r="AR132"/>
  <c r="AK132"/>
  <c r="X135" l="1"/>
  <c r="M135" s="1"/>
  <c r="AR133"/>
  <c r="AD133"/>
  <c r="O133" s="1"/>
  <c r="P133" s="1"/>
  <c r="Q133" s="1"/>
  <c r="AK133"/>
  <c r="X136" l="1"/>
  <c r="M136" s="1"/>
  <c r="AD134"/>
  <c r="O134" s="1"/>
  <c r="P134" s="1"/>
  <c r="Q134" s="1"/>
  <c r="AR134"/>
  <c r="AK134"/>
  <c r="X137" l="1"/>
  <c r="M137" s="1"/>
  <c r="AD135"/>
  <c r="O135" s="1"/>
  <c r="P135" s="1"/>
  <c r="Q135" s="1"/>
  <c r="AK135"/>
  <c r="AR135"/>
  <c r="X138" l="1"/>
  <c r="M138" s="1"/>
  <c r="AK136"/>
  <c r="AD136"/>
  <c r="O136" s="1"/>
  <c r="P136" s="1"/>
  <c r="Q136" s="1"/>
  <c r="AR136"/>
  <c r="X139" l="1"/>
  <c r="M139" s="1"/>
  <c r="AD137"/>
  <c r="O137" s="1"/>
  <c r="P137" s="1"/>
  <c r="Q137" s="1"/>
  <c r="AK137"/>
  <c r="AR137"/>
  <c r="X140" l="1"/>
  <c r="M140" s="1"/>
  <c r="AD138"/>
  <c r="O138" s="1"/>
  <c r="P138" s="1"/>
  <c r="Q138" s="1"/>
  <c r="AK138"/>
  <c r="AR138"/>
  <c r="X141" l="1"/>
  <c r="M141" s="1"/>
  <c r="AK139"/>
  <c r="AD139"/>
  <c r="O139" s="1"/>
  <c r="P139" s="1"/>
  <c r="Q139" s="1"/>
  <c r="AR139"/>
  <c r="X142" l="1"/>
  <c r="M142" s="1"/>
  <c r="AD140"/>
  <c r="O140" s="1"/>
  <c r="P140" s="1"/>
  <c r="Q140" s="1"/>
  <c r="AK140"/>
  <c r="AR140"/>
  <c r="X143" l="1"/>
  <c r="M143" s="1"/>
  <c r="AD141"/>
  <c r="O141" s="1"/>
  <c r="P141" s="1"/>
  <c r="Q141" s="1"/>
  <c r="AK141"/>
  <c r="AR141"/>
  <c r="X144" l="1"/>
  <c r="M144" s="1"/>
  <c r="AK142"/>
  <c r="AR142"/>
  <c r="AD142"/>
  <c r="O142" s="1"/>
  <c r="P142" s="1"/>
  <c r="Q142" s="1"/>
  <c r="X145" l="1"/>
  <c r="M145" s="1"/>
  <c r="AD143"/>
  <c r="O143" s="1"/>
  <c r="P143" s="1"/>
  <c r="Q143" s="1"/>
  <c r="AR143"/>
  <c r="AK143"/>
  <c r="X146" l="1"/>
  <c r="M146" s="1"/>
  <c r="AD144"/>
  <c r="O144" s="1"/>
  <c r="P144" s="1"/>
  <c r="Q144" s="1"/>
  <c r="AK144"/>
  <c r="AR144"/>
  <c r="X147" l="1"/>
  <c r="M147" s="1"/>
  <c r="AK145"/>
  <c r="AR145"/>
  <c r="AD145"/>
  <c r="O145" s="1"/>
  <c r="P145" s="1"/>
  <c r="Q145" s="1"/>
  <c r="X148" l="1"/>
  <c r="M148" s="1"/>
  <c r="AR146"/>
  <c r="AK146"/>
  <c r="AD146"/>
  <c r="O146" s="1"/>
  <c r="P146" s="1"/>
  <c r="Q146" s="1"/>
  <c r="X149" l="1"/>
  <c r="M149" s="1"/>
  <c r="AR147"/>
  <c r="AD147"/>
  <c r="O147" s="1"/>
  <c r="P147" s="1"/>
  <c r="Q147" s="1"/>
  <c r="AK147"/>
  <c r="X150" l="1"/>
  <c r="M150" s="1"/>
  <c r="AR148"/>
  <c r="AD148"/>
  <c r="O148" s="1"/>
  <c r="P148" s="1"/>
  <c r="Q148" s="1"/>
  <c r="AK148"/>
  <c r="X151" l="1"/>
  <c r="M151" s="1"/>
  <c r="AD149"/>
  <c r="O149" s="1"/>
  <c r="P149" s="1"/>
  <c r="Q149" s="1"/>
  <c r="AK149"/>
  <c r="AR149"/>
  <c r="X152" l="1"/>
  <c r="M152" s="1"/>
  <c r="AD150"/>
  <c r="O150" s="1"/>
  <c r="P150" s="1"/>
  <c r="Q150" s="1"/>
  <c r="AK150"/>
  <c r="AR150"/>
  <c r="X153" l="1"/>
  <c r="M153" s="1"/>
  <c r="AD151"/>
  <c r="O151" s="1"/>
  <c r="P151" s="1"/>
  <c r="Q151" s="1"/>
  <c r="AK151"/>
  <c r="AR151"/>
  <c r="X154" l="1"/>
  <c r="M154" s="1"/>
  <c r="AK152"/>
  <c r="AD152"/>
  <c r="O152" s="1"/>
  <c r="P152" s="1"/>
  <c r="Q152" s="1"/>
  <c r="AR152"/>
  <c r="X155" l="1"/>
  <c r="M155" s="1"/>
  <c r="AK153"/>
  <c r="AR153"/>
  <c r="AD153"/>
  <c r="O153" s="1"/>
  <c r="P153" s="1"/>
  <c r="Q153" s="1"/>
  <c r="X156" l="1"/>
  <c r="M156" s="1"/>
  <c r="AR154"/>
  <c r="AK154"/>
  <c r="AD154"/>
  <c r="O154" s="1"/>
  <c r="P154" s="1"/>
  <c r="Q154" s="1"/>
  <c r="X157" l="1"/>
  <c r="M157" s="1"/>
  <c r="AK155"/>
  <c r="AR155"/>
  <c r="AD155"/>
  <c r="O155" s="1"/>
  <c r="P155" s="1"/>
  <c r="Q155" s="1"/>
  <c r="X158" l="1"/>
  <c r="M158" s="1"/>
  <c r="AK156"/>
  <c r="AR156"/>
  <c r="AD156"/>
  <c r="O156" s="1"/>
  <c r="P156" s="1"/>
  <c r="Q156" s="1"/>
  <c r="X159" l="1"/>
  <c r="M159" s="1"/>
  <c r="AD157"/>
  <c r="O157" s="1"/>
  <c r="P157" s="1"/>
  <c r="Q157" s="1"/>
  <c r="AK157"/>
  <c r="AR157"/>
  <c r="X160" l="1"/>
  <c r="M160" s="1"/>
  <c r="AD158"/>
  <c r="O158" s="1"/>
  <c r="P158" s="1"/>
  <c r="Q158" s="1"/>
  <c r="AR158"/>
  <c r="AK158"/>
  <c r="X161" l="1"/>
  <c r="M161" s="1"/>
  <c r="AK159"/>
  <c r="AD159"/>
  <c r="O159" s="1"/>
  <c r="P159" s="1"/>
  <c r="Q159" s="1"/>
  <c r="AR159"/>
  <c r="X162" l="1"/>
  <c r="M162" s="1"/>
  <c r="AR160"/>
  <c r="AK160"/>
  <c r="AD160"/>
  <c r="O160" s="1"/>
  <c r="P160" s="1"/>
  <c r="Q160" s="1"/>
  <c r="X163" l="1"/>
  <c r="M163" s="1"/>
  <c r="AD161"/>
  <c r="O161" s="1"/>
  <c r="P161" s="1"/>
  <c r="Q161" s="1"/>
  <c r="AR161"/>
  <c r="AK161"/>
  <c r="X164" l="1"/>
  <c r="M164" s="1"/>
  <c r="AD162"/>
  <c r="O162" s="1"/>
  <c r="P162" s="1"/>
  <c r="Q162" s="1"/>
  <c r="AK162"/>
  <c r="AR162"/>
  <c r="X165" l="1"/>
  <c r="M165" s="1"/>
  <c r="AK163"/>
  <c r="AD163"/>
  <c r="O163" s="1"/>
  <c r="P163" s="1"/>
  <c r="Q163" s="1"/>
  <c r="AR163"/>
  <c r="X166" l="1"/>
  <c r="M166" s="1"/>
  <c r="AK164"/>
  <c r="AD164"/>
  <c r="O164" s="1"/>
  <c r="P164" s="1"/>
  <c r="Q164" s="1"/>
  <c r="AR164"/>
  <c r="X167" l="1"/>
  <c r="M167" s="1"/>
  <c r="AD165"/>
  <c r="O165" s="1"/>
  <c r="P165" s="1"/>
  <c r="Q165" s="1"/>
  <c r="AK165"/>
  <c r="AR165"/>
  <c r="X168" l="1"/>
  <c r="M168" s="1"/>
  <c r="AD166"/>
  <c r="O166" s="1"/>
  <c r="P166" s="1"/>
  <c r="Q166" s="1"/>
  <c r="AK166"/>
  <c r="AR166"/>
  <c r="X169" l="1"/>
  <c r="M169" s="1"/>
  <c r="AR167"/>
  <c r="AD167"/>
  <c r="O167" s="1"/>
  <c r="P167" s="1"/>
  <c r="Q167" s="1"/>
  <c r="AK167"/>
  <c r="X170" l="1"/>
  <c r="M170" s="1"/>
  <c r="AK168"/>
  <c r="AR168"/>
  <c r="AD168"/>
  <c r="O168" s="1"/>
  <c r="P168" s="1"/>
  <c r="Q168" s="1"/>
  <c r="X171" l="1"/>
  <c r="M171" s="1"/>
  <c r="AK169"/>
  <c r="AD169"/>
  <c r="O169" s="1"/>
  <c r="P169" s="1"/>
  <c r="Q169" s="1"/>
  <c r="AR169"/>
  <c r="X172" l="1"/>
  <c r="M172" s="1"/>
  <c r="AD170"/>
  <c r="O170" s="1"/>
  <c r="P170" s="1"/>
  <c r="Q170" s="1"/>
  <c r="AK170"/>
  <c r="AR170"/>
  <c r="X173" l="1"/>
  <c r="M173" s="1"/>
  <c r="AR171"/>
  <c r="AD171"/>
  <c r="O171" s="1"/>
  <c r="P171" s="1"/>
  <c r="Q171" s="1"/>
  <c r="AK171"/>
  <c r="X174" l="1"/>
  <c r="M174" s="1"/>
  <c r="AK172"/>
  <c r="AR172"/>
  <c r="AD172"/>
  <c r="O172" s="1"/>
  <c r="P172" s="1"/>
  <c r="Q172" s="1"/>
  <c r="X175" l="1"/>
  <c r="M175" s="1"/>
  <c r="AD173"/>
  <c r="O173" s="1"/>
  <c r="P173" s="1"/>
  <c r="Q173" s="1"/>
  <c r="AK173"/>
  <c r="AR173"/>
  <c r="X176" l="1"/>
  <c r="M176" s="1"/>
  <c r="AK174"/>
  <c r="AD174"/>
  <c r="O174" s="1"/>
  <c r="P174" s="1"/>
  <c r="Q174" s="1"/>
  <c r="AR174"/>
  <c r="X177" l="1"/>
  <c r="M177" s="1"/>
  <c r="AD175"/>
  <c r="O175" s="1"/>
  <c r="P175" s="1"/>
  <c r="Q175" s="1"/>
  <c r="AK175"/>
  <c r="AR175"/>
  <c r="X178" l="1"/>
  <c r="M178" s="1"/>
  <c r="AR176"/>
  <c r="AD176"/>
  <c r="O176" s="1"/>
  <c r="P176" s="1"/>
  <c r="Q176" s="1"/>
  <c r="AK176"/>
  <c r="X179" l="1"/>
  <c r="M179" s="1"/>
  <c r="AR177"/>
  <c r="AK177"/>
  <c r="AD177"/>
  <c r="O177" s="1"/>
  <c r="P177" s="1"/>
  <c r="Q177" s="1"/>
  <c r="X180" l="1"/>
  <c r="M180" s="1"/>
  <c r="AR178"/>
  <c r="AK178"/>
  <c r="AD178"/>
  <c r="O178" s="1"/>
  <c r="P178" s="1"/>
  <c r="Q178" s="1"/>
  <c r="X181" l="1"/>
  <c r="M181" s="1"/>
  <c r="AR179"/>
  <c r="AD179"/>
  <c r="O179" s="1"/>
  <c r="P179" s="1"/>
  <c r="Q179" s="1"/>
  <c r="AK179"/>
  <c r="X182" l="1"/>
  <c r="M182" s="1"/>
  <c r="AR180"/>
  <c r="AD180"/>
  <c r="O180" s="1"/>
  <c r="P180" s="1"/>
  <c r="Q180" s="1"/>
  <c r="AK180"/>
  <c r="X183" l="1"/>
  <c r="M183" s="1"/>
  <c r="AR181"/>
  <c r="AD181"/>
  <c r="O181" s="1"/>
  <c r="P181" s="1"/>
  <c r="Q181" s="1"/>
  <c r="AK181"/>
  <c r="X184" l="1"/>
  <c r="M184" s="1"/>
  <c r="AD182"/>
  <c r="O182" s="1"/>
  <c r="P182" s="1"/>
  <c r="Q182" s="1"/>
  <c r="AR182"/>
  <c r="AK182"/>
  <c r="X185" l="1"/>
  <c r="M185" s="1"/>
  <c r="AR183"/>
  <c r="AD183"/>
  <c r="O183" s="1"/>
  <c r="P183" s="1"/>
  <c r="Q183" s="1"/>
  <c r="AK183"/>
  <c r="X186" l="1"/>
  <c r="M186" s="1"/>
  <c r="AR184"/>
  <c r="AD184"/>
  <c r="O184" s="1"/>
  <c r="P184" s="1"/>
  <c r="Q184" s="1"/>
  <c r="AK184"/>
  <c r="X187" l="1"/>
  <c r="M187" s="1"/>
  <c r="AD185"/>
  <c r="O185" s="1"/>
  <c r="P185" s="1"/>
  <c r="Q185" s="1"/>
  <c r="AR185"/>
  <c r="AK185"/>
  <c r="X188" l="1"/>
  <c r="M188" s="1"/>
  <c r="AR186"/>
  <c r="AD186"/>
  <c r="O186" s="1"/>
  <c r="P186" s="1"/>
  <c r="Q186" s="1"/>
  <c r="AK186"/>
  <c r="X189" l="1"/>
  <c r="M189" s="1"/>
  <c r="AR187"/>
  <c r="AK187"/>
  <c r="AD187"/>
  <c r="O187" s="1"/>
  <c r="P187" s="1"/>
  <c r="Q187" s="1"/>
  <c r="X190" l="1"/>
  <c r="M190" s="1"/>
  <c r="AD188"/>
  <c r="O188" s="1"/>
  <c r="P188" s="1"/>
  <c r="Q188" s="1"/>
  <c r="AR188"/>
  <c r="AK188"/>
  <c r="X191" l="1"/>
  <c r="M191" s="1"/>
  <c r="AD189"/>
  <c r="O189" s="1"/>
  <c r="P189" s="1"/>
  <c r="Q189" s="1"/>
  <c r="AK189"/>
  <c r="AR189"/>
  <c r="X192" l="1"/>
  <c r="M192" s="1"/>
  <c r="AK190"/>
  <c r="AD190"/>
  <c r="O190" s="1"/>
  <c r="P190" s="1"/>
  <c r="Q190" s="1"/>
  <c r="AR190"/>
  <c r="X193" l="1"/>
  <c r="M193" s="1"/>
  <c r="AD191"/>
  <c r="O191" s="1"/>
  <c r="P191" s="1"/>
  <c r="Q191" s="1"/>
  <c r="AK191"/>
  <c r="AR191"/>
  <c r="X194" l="1"/>
  <c r="M194" s="1"/>
  <c r="AR192"/>
  <c r="AD192"/>
  <c r="O192" s="1"/>
  <c r="P192" s="1"/>
  <c r="Q192" s="1"/>
  <c r="AK192"/>
  <c r="X195" l="1"/>
  <c r="M195" s="1"/>
  <c r="AR193"/>
  <c r="AK193"/>
  <c r="AD193"/>
  <c r="O193" s="1"/>
  <c r="P193" s="1"/>
  <c r="Q193" s="1"/>
  <c r="X196" l="1"/>
  <c r="M196" s="1"/>
  <c r="AK194"/>
  <c r="AR194"/>
  <c r="AD194"/>
  <c r="O194" s="1"/>
  <c r="P194" s="1"/>
  <c r="Q194" s="1"/>
  <c r="X197" l="1"/>
  <c r="M197" s="1"/>
  <c r="AK195"/>
  <c r="AD195"/>
  <c r="O195" s="1"/>
  <c r="P195" s="1"/>
  <c r="Q195" s="1"/>
  <c r="AR195"/>
  <c r="X198" l="1"/>
  <c r="M198" s="1"/>
  <c r="AD196"/>
  <c r="O196" s="1"/>
  <c r="P196" s="1"/>
  <c r="Q196" s="1"/>
  <c r="AK196"/>
  <c r="AR196"/>
  <c r="X199" l="1"/>
  <c r="M199" s="1"/>
  <c r="AD197"/>
  <c r="O197" s="1"/>
  <c r="P197" s="1"/>
  <c r="Q197" s="1"/>
  <c r="AK197"/>
  <c r="AR197"/>
  <c r="X200" l="1"/>
  <c r="M200" s="1"/>
  <c r="AK198"/>
  <c r="AR198"/>
  <c r="AD198"/>
  <c r="O198" s="1"/>
  <c r="P198" s="1"/>
  <c r="Q198" s="1"/>
  <c r="X201" l="1"/>
  <c r="M201" s="1"/>
  <c r="AK199"/>
  <c r="AD199"/>
  <c r="O199" s="1"/>
  <c r="P199" s="1"/>
  <c r="Q199" s="1"/>
  <c r="AR199"/>
  <c r="X202" l="1"/>
  <c r="M202" s="1"/>
  <c r="AD200"/>
  <c r="O200" s="1"/>
  <c r="P200" s="1"/>
  <c r="Q200" s="1"/>
  <c r="AK200"/>
  <c r="AR200"/>
  <c r="X203" l="1"/>
  <c r="M203" s="1"/>
  <c r="AK201"/>
  <c r="AR201"/>
  <c r="AD201"/>
  <c r="O201" s="1"/>
  <c r="P201" s="1"/>
  <c r="Q201" s="1"/>
  <c r="X204" l="1"/>
  <c r="M204" s="1"/>
  <c r="AR202"/>
  <c r="AD202"/>
  <c r="O202" s="1"/>
  <c r="P202" s="1"/>
  <c r="Q202" s="1"/>
  <c r="AK202"/>
  <c r="X205" l="1"/>
  <c r="M205" s="1"/>
  <c r="AD203"/>
  <c r="O203" s="1"/>
  <c r="P203" s="1"/>
  <c r="Q203" s="1"/>
  <c r="AR203"/>
  <c r="AK203"/>
  <c r="X206" l="1"/>
  <c r="M206" s="1"/>
  <c r="AK204"/>
  <c r="AD204"/>
  <c r="O204" s="1"/>
  <c r="P204" s="1"/>
  <c r="Q204" s="1"/>
  <c r="AR204"/>
  <c r="X207" l="1"/>
  <c r="M207" s="1"/>
  <c r="AR205"/>
  <c r="AK205"/>
  <c r="AD205"/>
  <c r="O205" s="1"/>
  <c r="P205" s="1"/>
  <c r="Q205" s="1"/>
  <c r="X208" l="1"/>
  <c r="M208" s="1"/>
  <c r="AR206"/>
  <c r="AK206"/>
  <c r="AD206"/>
  <c r="O206" s="1"/>
  <c r="P206" s="1"/>
  <c r="Q206" s="1"/>
  <c r="X209" l="1"/>
  <c r="M209" s="1"/>
  <c r="AK207"/>
  <c r="AD207"/>
  <c r="O207" s="1"/>
  <c r="P207" s="1"/>
  <c r="Q207" s="1"/>
  <c r="AR207"/>
  <c r="X210" l="1"/>
  <c r="M210" s="1"/>
  <c r="AK208"/>
  <c r="AR208"/>
  <c r="AD208"/>
  <c r="O208" s="1"/>
  <c r="P208" s="1"/>
  <c r="Q208" s="1"/>
  <c r="X211" l="1"/>
  <c r="M211" s="1"/>
  <c r="AK209"/>
  <c r="AD209"/>
  <c r="O209" s="1"/>
  <c r="P209" s="1"/>
  <c r="Q209" s="1"/>
  <c r="AR209"/>
  <c r="X212" l="1"/>
  <c r="M212" s="1"/>
  <c r="AK210"/>
  <c r="AR210"/>
  <c r="AD210"/>
  <c r="O210" s="1"/>
  <c r="P210" s="1"/>
  <c r="Q210" s="1"/>
  <c r="X213" l="1"/>
  <c r="M213" s="1"/>
  <c r="AR211"/>
  <c r="AK211"/>
  <c r="AD211"/>
  <c r="O211" s="1"/>
  <c r="P211" s="1"/>
  <c r="Q211" s="1"/>
  <c r="X214" l="1"/>
  <c r="M214" s="1"/>
  <c r="AR212"/>
  <c r="AD212"/>
  <c r="O212" s="1"/>
  <c r="P212" s="1"/>
  <c r="Q212" s="1"/>
  <c r="AK212"/>
  <c r="X215" l="1"/>
  <c r="M215" s="1"/>
  <c r="AR213"/>
  <c r="AD213"/>
  <c r="O213" s="1"/>
  <c r="P213" s="1"/>
  <c r="Q213" s="1"/>
  <c r="AK213"/>
  <c r="X216" l="1"/>
  <c r="M216" s="1"/>
  <c r="AR214"/>
  <c r="AD214"/>
  <c r="O214" s="1"/>
  <c r="P214" s="1"/>
  <c r="Q214" s="1"/>
  <c r="AK214"/>
  <c r="X217" l="1"/>
  <c r="M217" s="1"/>
  <c r="AR215"/>
  <c r="AK215"/>
  <c r="AD215"/>
  <c r="O215" s="1"/>
  <c r="P215" s="1"/>
  <c r="Q215" s="1"/>
  <c r="X218" l="1"/>
  <c r="M218" s="1"/>
  <c r="AR216"/>
  <c r="AD216"/>
  <c r="O216" s="1"/>
  <c r="P216" s="1"/>
  <c r="Q216" s="1"/>
  <c r="AK216"/>
  <c r="X219" l="1"/>
  <c r="M219" s="1"/>
  <c r="AK217"/>
  <c r="AR217"/>
  <c r="AD217"/>
  <c r="O217" s="1"/>
  <c r="P217" s="1"/>
  <c r="Q217" s="1"/>
  <c r="X220" l="1"/>
  <c r="M220" s="1"/>
  <c r="AR218"/>
  <c r="AD218"/>
  <c r="O218" s="1"/>
  <c r="P218" s="1"/>
  <c r="Q218" s="1"/>
  <c r="AK218"/>
  <c r="X221" l="1"/>
  <c r="M221" s="1"/>
  <c r="AR219"/>
  <c r="AK219"/>
  <c r="AD219"/>
  <c r="O219" s="1"/>
  <c r="P219" s="1"/>
  <c r="Q219" s="1"/>
  <c r="X222" l="1"/>
  <c r="M222" s="1"/>
  <c r="AK220"/>
  <c r="AR220"/>
  <c r="AD220"/>
  <c r="O220" s="1"/>
  <c r="P220" s="1"/>
  <c r="Q220" s="1"/>
  <c r="X223" l="1"/>
  <c r="M223" s="1"/>
  <c r="AR221"/>
  <c r="AD221"/>
  <c r="O221" s="1"/>
  <c r="P221" s="1"/>
  <c r="Q221" s="1"/>
  <c r="AK221"/>
  <c r="X224" l="1"/>
  <c r="M224" s="1"/>
  <c r="AR222"/>
  <c r="AK222"/>
  <c r="AD222"/>
  <c r="O222" s="1"/>
  <c r="P222" s="1"/>
  <c r="Q222" s="1"/>
  <c r="X225" l="1"/>
  <c r="M225" s="1"/>
  <c r="AD223"/>
  <c r="O223" s="1"/>
  <c r="P223" s="1"/>
  <c r="Q223" s="1"/>
  <c r="AR223"/>
  <c r="AK223"/>
  <c r="X226" l="1"/>
  <c r="M226" s="1"/>
  <c r="AK224"/>
  <c r="AR224"/>
  <c r="AD224"/>
  <c r="O224" s="1"/>
  <c r="P224" s="1"/>
  <c r="Q224" s="1"/>
  <c r="X227" l="1"/>
  <c r="M227" s="1"/>
  <c r="AD225"/>
  <c r="O225" s="1"/>
  <c r="P225" s="1"/>
  <c r="Q225" s="1"/>
  <c r="AK225"/>
  <c r="AR225"/>
  <c r="X228" l="1"/>
  <c r="M228" s="1"/>
  <c r="AK226"/>
  <c r="AD226"/>
  <c r="O226" s="1"/>
  <c r="P226" s="1"/>
  <c r="Q226" s="1"/>
  <c r="AR226"/>
  <c r="X229" l="1"/>
  <c r="M229" s="1"/>
  <c r="AD227"/>
  <c r="O227" s="1"/>
  <c r="P227" s="1"/>
  <c r="Q227" s="1"/>
  <c r="AR227"/>
  <c r="AK227"/>
  <c r="X230" l="1"/>
  <c r="M230" s="1"/>
  <c r="AD228"/>
  <c r="O228" s="1"/>
  <c r="P228" s="1"/>
  <c r="Q228" s="1"/>
  <c r="AK228"/>
  <c r="AR228"/>
  <c r="X231" l="1"/>
  <c r="M231" s="1"/>
  <c r="AR229"/>
  <c r="AD229"/>
  <c r="O229" s="1"/>
  <c r="P229" s="1"/>
  <c r="Q229" s="1"/>
  <c r="AK229"/>
  <c r="X232" l="1"/>
  <c r="M232" s="1"/>
  <c r="AR230"/>
  <c r="AD230"/>
  <c r="O230" s="1"/>
  <c r="P230" s="1"/>
  <c r="Q230" s="1"/>
  <c r="AK230"/>
  <c r="X233" l="1"/>
  <c r="M233" s="1"/>
  <c r="AR231"/>
  <c r="AK231"/>
  <c r="AD231"/>
  <c r="O231" s="1"/>
  <c r="P231" s="1"/>
  <c r="Q231" s="1"/>
  <c r="X234" l="1"/>
  <c r="M234" s="1"/>
  <c r="AK232"/>
  <c r="AD232"/>
  <c r="O232" s="1"/>
  <c r="P232" s="1"/>
  <c r="Q232" s="1"/>
  <c r="AR232"/>
  <c r="X235" l="1"/>
  <c r="M235" s="1"/>
  <c r="AK233"/>
  <c r="AD233"/>
  <c r="O233" s="1"/>
  <c r="P233" s="1"/>
  <c r="Q233" s="1"/>
  <c r="AR233"/>
  <c r="X236" l="1"/>
  <c r="M236" s="1"/>
  <c r="AD234"/>
  <c r="O234" s="1"/>
  <c r="P234" s="1"/>
  <c r="Q234" s="1"/>
  <c r="AR234"/>
  <c r="AK234"/>
  <c r="X237" l="1"/>
  <c r="M237" s="1"/>
  <c r="AK235"/>
  <c r="AD235"/>
  <c r="O235" s="1"/>
  <c r="P235" s="1"/>
  <c r="Q235" s="1"/>
  <c r="AR235"/>
  <c r="X238" l="1"/>
  <c r="M238" s="1"/>
  <c r="AD236"/>
  <c r="O236" s="1"/>
  <c r="P236" s="1"/>
  <c r="Q236" s="1"/>
  <c r="AR236"/>
  <c r="AK236"/>
  <c r="X239" l="1"/>
  <c r="M239" s="1"/>
  <c r="AR237"/>
  <c r="AD237"/>
  <c r="O237" s="1"/>
  <c r="P237" s="1"/>
  <c r="Q237" s="1"/>
  <c r="AK237"/>
  <c r="X240" l="1"/>
  <c r="M240" s="1"/>
  <c r="AD238"/>
  <c r="O238" s="1"/>
  <c r="P238" s="1"/>
  <c r="Q238" s="1"/>
  <c r="AR238"/>
  <c r="AK238"/>
  <c r="X241" l="1"/>
  <c r="M241" s="1"/>
  <c r="AD239"/>
  <c r="O239" s="1"/>
  <c r="P239" s="1"/>
  <c r="Q239" s="1"/>
  <c r="AK239"/>
  <c r="AR239"/>
  <c r="X242" l="1"/>
  <c r="M242" s="1"/>
  <c r="AD240"/>
  <c r="O240" s="1"/>
  <c r="P240" s="1"/>
  <c r="Q240" s="1"/>
  <c r="AR240"/>
  <c r="AK240"/>
  <c r="X243" l="1"/>
  <c r="M243" s="1"/>
  <c r="AR241"/>
  <c r="AK241"/>
  <c r="AD241"/>
  <c r="O241" s="1"/>
  <c r="P241" s="1"/>
  <c r="Q241" s="1"/>
  <c r="X244" l="1"/>
  <c r="M244" s="1"/>
  <c r="AK242"/>
  <c r="AD242"/>
  <c r="O242" s="1"/>
  <c r="P242" s="1"/>
  <c r="Q242" s="1"/>
  <c r="AR242"/>
  <c r="X245" l="1"/>
  <c r="M245" s="1"/>
  <c r="AD243"/>
  <c r="O243" s="1"/>
  <c r="P243" s="1"/>
  <c r="Q243" s="1"/>
  <c r="AK243"/>
  <c r="AR243"/>
  <c r="X246" l="1"/>
  <c r="M246" s="1"/>
  <c r="AR244"/>
  <c r="AD244"/>
  <c r="O244" s="1"/>
  <c r="P244" s="1"/>
  <c r="Q244" s="1"/>
  <c r="AK244"/>
  <c r="X247" l="1"/>
  <c r="M247" s="1"/>
  <c r="AK245"/>
  <c r="AR245"/>
  <c r="AD245"/>
  <c r="O245" s="1"/>
  <c r="P245" s="1"/>
  <c r="Q245" s="1"/>
  <c r="X248" l="1"/>
  <c r="M248" s="1"/>
  <c r="AK246"/>
  <c r="AD246"/>
  <c r="O246" s="1"/>
  <c r="P246" s="1"/>
  <c r="Q246" s="1"/>
  <c r="AR246"/>
  <c r="X249" l="1"/>
  <c r="M249" s="1"/>
  <c r="AD247"/>
  <c r="O247" s="1"/>
  <c r="P247" s="1"/>
  <c r="Q247" s="1"/>
  <c r="AR247"/>
  <c r="AK247"/>
  <c r="X250" l="1"/>
  <c r="M250" s="1"/>
  <c r="AR248"/>
  <c r="AK248"/>
  <c r="AD248"/>
  <c r="O248" s="1"/>
  <c r="P248" s="1"/>
  <c r="Q248" s="1"/>
  <c r="X251" l="1"/>
  <c r="M251" s="1"/>
  <c r="AK249"/>
  <c r="AD249"/>
  <c r="O249" s="1"/>
  <c r="P249" s="1"/>
  <c r="Q249" s="1"/>
  <c r="AR249"/>
  <c r="X252" l="1"/>
  <c r="M252" s="1"/>
  <c r="AK250"/>
  <c r="AR250"/>
  <c r="AD250"/>
  <c r="O250" s="1"/>
  <c r="P250" s="1"/>
  <c r="Q250" s="1"/>
  <c r="X253" l="1"/>
  <c r="M253" s="1"/>
  <c r="AD251"/>
  <c r="O251" s="1"/>
  <c r="P251" s="1"/>
  <c r="Q251" s="1"/>
  <c r="AK251"/>
  <c r="AR251"/>
  <c r="AD252" l="1"/>
  <c r="O252" s="1"/>
  <c r="P252" s="1"/>
  <c r="Q252" s="1"/>
  <c r="AK252"/>
  <c r="AR252"/>
  <c r="AD253" l="1"/>
  <c r="O253" s="1"/>
  <c r="P253" s="1"/>
  <c r="Q253" s="1"/>
  <c r="AR253"/>
  <c r="AK253"/>
  <c r="W6" l="1"/>
  <c r="N6" s="1"/>
  <c r="W16"/>
  <c r="N16" s="1"/>
  <c r="W20"/>
  <c r="N20" s="1"/>
  <c r="W22"/>
  <c r="N22" s="1"/>
  <c r="W26"/>
  <c r="N26" s="1"/>
  <c r="W31"/>
  <c r="N31" s="1"/>
  <c r="W33"/>
  <c r="N33" s="1"/>
  <c r="W37"/>
  <c r="N37" s="1"/>
  <c r="W39"/>
  <c r="N39" s="1"/>
  <c r="W43"/>
  <c r="N43" s="1"/>
  <c r="W47"/>
  <c r="N47" s="1"/>
  <c r="W51"/>
  <c r="N51" s="1"/>
  <c r="W55"/>
  <c r="N55" s="1"/>
  <c r="W57"/>
  <c r="N57" s="1"/>
  <c r="W61"/>
  <c r="N61" s="1"/>
  <c r="W65"/>
  <c r="N65" s="1"/>
  <c r="W69"/>
  <c r="N69" s="1"/>
  <c r="W71"/>
  <c r="N71" s="1"/>
  <c r="W75"/>
  <c r="N75" s="1"/>
  <c r="W79"/>
  <c r="N79" s="1"/>
  <c r="W81"/>
  <c r="N81" s="1"/>
  <c r="W85"/>
  <c r="N85" s="1"/>
  <c r="W89"/>
  <c r="N89" s="1"/>
  <c r="W93"/>
  <c r="N93" s="1"/>
  <c r="W95"/>
  <c r="N95" s="1"/>
  <c r="W99"/>
  <c r="N99" s="1"/>
  <c r="W103"/>
  <c r="N103" s="1"/>
  <c r="W107"/>
  <c r="N107" s="1"/>
  <c r="W111"/>
  <c r="N111" s="1"/>
  <c r="W115"/>
  <c r="N115" s="1"/>
  <c r="W119"/>
  <c r="N119" s="1"/>
  <c r="W121"/>
  <c r="N121" s="1"/>
  <c r="W125"/>
  <c r="N125" s="1"/>
  <c r="W127"/>
  <c r="N127" s="1"/>
  <c r="W131"/>
  <c r="N131" s="1"/>
  <c r="W135"/>
  <c r="N135" s="1"/>
  <c r="W137"/>
  <c r="N137" s="1"/>
  <c r="W141"/>
  <c r="N141" s="1"/>
  <c r="W145"/>
  <c r="N145" s="1"/>
  <c r="W149"/>
  <c r="N149" s="1"/>
  <c r="W151"/>
  <c r="N151" s="1"/>
  <c r="W155"/>
  <c r="N155" s="1"/>
  <c r="W159"/>
  <c r="N159" s="1"/>
  <c r="W163"/>
  <c r="N163" s="1"/>
  <c r="W167"/>
  <c r="N167" s="1"/>
  <c r="W171"/>
  <c r="N171" s="1"/>
  <c r="W175"/>
  <c r="N175" s="1"/>
  <c r="W179"/>
  <c r="N179" s="1"/>
  <c r="W183"/>
  <c r="N183" s="1"/>
  <c r="W187"/>
  <c r="N187" s="1"/>
  <c r="W189"/>
  <c r="N189" s="1"/>
  <c r="W193"/>
  <c r="N193" s="1"/>
  <c r="W197"/>
  <c r="N197" s="1"/>
  <c r="W201"/>
  <c r="N201" s="1"/>
  <c r="W205"/>
  <c r="N205" s="1"/>
  <c r="W207"/>
  <c r="N207" s="1"/>
  <c r="W211"/>
  <c r="N211" s="1"/>
  <c r="W215"/>
  <c r="N215" s="1"/>
  <c r="W217"/>
  <c r="N217" s="1"/>
  <c r="W221"/>
  <c r="N221" s="1"/>
  <c r="W225"/>
  <c r="N225" s="1"/>
  <c r="W229"/>
  <c r="N229" s="1"/>
  <c r="W233"/>
  <c r="N233" s="1"/>
  <c r="W237"/>
  <c r="N237" s="1"/>
  <c r="W239"/>
  <c r="N239" s="1"/>
  <c r="W243"/>
  <c r="N243" s="1"/>
  <c r="W247"/>
  <c r="N247" s="1"/>
  <c r="W251"/>
  <c r="N251" s="1"/>
  <c r="W8"/>
  <c r="N8" s="1"/>
  <c r="W10"/>
  <c r="N10" s="1"/>
  <c r="W12"/>
  <c r="N12" s="1"/>
  <c r="W14"/>
  <c r="N14" s="1"/>
  <c r="W18"/>
  <c r="N18" s="1"/>
  <c r="W24"/>
  <c r="N24" s="1"/>
  <c r="W29"/>
  <c r="N29" s="1"/>
  <c r="W35"/>
  <c r="N35" s="1"/>
  <c r="W41"/>
  <c r="N41" s="1"/>
  <c r="W45"/>
  <c r="N45" s="1"/>
  <c r="W49"/>
  <c r="N49" s="1"/>
  <c r="W53"/>
  <c r="N53" s="1"/>
  <c r="W59"/>
  <c r="N59" s="1"/>
  <c r="W63"/>
  <c r="N63" s="1"/>
  <c r="W67"/>
  <c r="N67" s="1"/>
  <c r="W73"/>
  <c r="N73" s="1"/>
  <c r="W77"/>
  <c r="N77" s="1"/>
  <c r="W83"/>
  <c r="N83" s="1"/>
  <c r="W87"/>
  <c r="N87" s="1"/>
  <c r="W91"/>
  <c r="N91" s="1"/>
  <c r="W97"/>
  <c r="N97" s="1"/>
  <c r="W101"/>
  <c r="N101" s="1"/>
  <c r="W105"/>
  <c r="N105" s="1"/>
  <c r="W109"/>
  <c r="N109" s="1"/>
  <c r="W113"/>
  <c r="N113" s="1"/>
  <c r="W117"/>
  <c r="N117" s="1"/>
  <c r="W123"/>
  <c r="N123" s="1"/>
  <c r="W129"/>
  <c r="N129" s="1"/>
  <c r="W133"/>
  <c r="N133" s="1"/>
  <c r="W139"/>
  <c r="N139" s="1"/>
  <c r="W143"/>
  <c r="N143" s="1"/>
  <c r="W147"/>
  <c r="N147" s="1"/>
  <c r="W153"/>
  <c r="N153" s="1"/>
  <c r="W157"/>
  <c r="N157" s="1"/>
  <c r="W161"/>
  <c r="N161" s="1"/>
  <c r="W165"/>
  <c r="N165" s="1"/>
  <c r="W169"/>
  <c r="N169" s="1"/>
  <c r="W173"/>
  <c r="N173" s="1"/>
  <c r="W177"/>
  <c r="N177" s="1"/>
  <c r="W181"/>
  <c r="N181" s="1"/>
  <c r="W185"/>
  <c r="N185" s="1"/>
  <c r="W191"/>
  <c r="N191" s="1"/>
  <c r="W195"/>
  <c r="N195" s="1"/>
  <c r="W199"/>
  <c r="N199" s="1"/>
  <c r="W203"/>
  <c r="N203" s="1"/>
  <c r="W209"/>
  <c r="N209" s="1"/>
  <c r="W213"/>
  <c r="N213" s="1"/>
  <c r="W219"/>
  <c r="N219" s="1"/>
  <c r="W223"/>
  <c r="N223" s="1"/>
  <c r="W227"/>
  <c r="N227" s="1"/>
  <c r="W231"/>
  <c r="N231" s="1"/>
  <c r="W235"/>
  <c r="N235" s="1"/>
  <c r="W241"/>
  <c r="N241" s="1"/>
  <c r="W245"/>
  <c r="N245" s="1"/>
  <c r="W249"/>
  <c r="N249" s="1"/>
  <c r="W253"/>
  <c r="N253" s="1"/>
  <c r="W5"/>
  <c r="N5" s="1"/>
  <c r="W7"/>
  <c r="N7" s="1"/>
  <c r="W9"/>
  <c r="N9" s="1"/>
  <c r="W11"/>
  <c r="N11" s="1"/>
  <c r="W13"/>
  <c r="N13" s="1"/>
  <c r="W15"/>
  <c r="N15" s="1"/>
  <c r="W17"/>
  <c r="N17" s="1"/>
  <c r="W19"/>
  <c r="N19" s="1"/>
  <c r="W21"/>
  <c r="N21" s="1"/>
  <c r="W23"/>
  <c r="N23" s="1"/>
  <c r="W25"/>
  <c r="N25" s="1"/>
  <c r="W27"/>
  <c r="N27" s="1"/>
  <c r="W30"/>
  <c r="N30" s="1"/>
  <c r="W32"/>
  <c r="N32" s="1"/>
  <c r="W34"/>
  <c r="N34" s="1"/>
  <c r="W36"/>
  <c r="N36" s="1"/>
  <c r="W38"/>
  <c r="N38" s="1"/>
  <c r="W40"/>
  <c r="N40" s="1"/>
  <c r="W42"/>
  <c r="N42" s="1"/>
  <c r="W44"/>
  <c r="N44" s="1"/>
  <c r="W46"/>
  <c r="N46" s="1"/>
  <c r="W48"/>
  <c r="N48" s="1"/>
  <c r="W50"/>
  <c r="N50" s="1"/>
  <c r="W52"/>
  <c r="N52" s="1"/>
  <c r="W54"/>
  <c r="N54" s="1"/>
  <c r="W56"/>
  <c r="N56" s="1"/>
  <c r="W58"/>
  <c r="N58" s="1"/>
  <c r="W60"/>
  <c r="N60" s="1"/>
  <c r="W62"/>
  <c r="N62" s="1"/>
  <c r="W64"/>
  <c r="N64" s="1"/>
  <c r="W66"/>
  <c r="N66" s="1"/>
  <c r="W68"/>
  <c r="N68" s="1"/>
  <c r="W70"/>
  <c r="N70" s="1"/>
  <c r="W72"/>
  <c r="N72" s="1"/>
  <c r="W74"/>
  <c r="N74" s="1"/>
  <c r="W76"/>
  <c r="N76" s="1"/>
  <c r="W78"/>
  <c r="N78" s="1"/>
  <c r="W80"/>
  <c r="N80" s="1"/>
  <c r="W82"/>
  <c r="N82" s="1"/>
  <c r="W84"/>
  <c r="N84" s="1"/>
  <c r="W86"/>
  <c r="N86" s="1"/>
  <c r="W88"/>
  <c r="N88" s="1"/>
  <c r="W90"/>
  <c r="N90" s="1"/>
  <c r="W92"/>
  <c r="N92" s="1"/>
  <c r="W94"/>
  <c r="N94" s="1"/>
  <c r="W96"/>
  <c r="N96" s="1"/>
  <c r="W98"/>
  <c r="N98" s="1"/>
  <c r="W100"/>
  <c r="N100" s="1"/>
  <c r="W102"/>
  <c r="N102" s="1"/>
  <c r="W104"/>
  <c r="N104" s="1"/>
  <c r="W106"/>
  <c r="N106" s="1"/>
  <c r="W108"/>
  <c r="N108" s="1"/>
  <c r="W110"/>
  <c r="N110" s="1"/>
  <c r="W112"/>
  <c r="N112" s="1"/>
  <c r="W114"/>
  <c r="N114" s="1"/>
  <c r="W116"/>
  <c r="N116" s="1"/>
  <c r="W118"/>
  <c r="N118" s="1"/>
  <c r="W120"/>
  <c r="N120" s="1"/>
  <c r="W122"/>
  <c r="N122" s="1"/>
  <c r="W124"/>
  <c r="N124" s="1"/>
  <c r="W126"/>
  <c r="N126" s="1"/>
  <c r="W128"/>
  <c r="N128" s="1"/>
  <c r="W130"/>
  <c r="N130" s="1"/>
  <c r="W132"/>
  <c r="N132" s="1"/>
  <c r="W134"/>
  <c r="N134" s="1"/>
  <c r="W136"/>
  <c r="N136" s="1"/>
  <c r="W138"/>
  <c r="N138" s="1"/>
  <c r="W140"/>
  <c r="N140" s="1"/>
  <c r="W142"/>
  <c r="N142" s="1"/>
  <c r="W144"/>
  <c r="N144" s="1"/>
  <c r="W146"/>
  <c r="N146" s="1"/>
  <c r="W148"/>
  <c r="N148" s="1"/>
  <c r="W150"/>
  <c r="N150" s="1"/>
  <c r="W152"/>
  <c r="N152" s="1"/>
  <c r="W154"/>
  <c r="N154" s="1"/>
  <c r="W156"/>
  <c r="N156" s="1"/>
  <c r="W158"/>
  <c r="N158" s="1"/>
  <c r="W160"/>
  <c r="N160" s="1"/>
  <c r="W162"/>
  <c r="N162" s="1"/>
  <c r="W164"/>
  <c r="N164" s="1"/>
  <c r="W166"/>
  <c r="N166" s="1"/>
  <c r="W168"/>
  <c r="N168" s="1"/>
  <c r="W170"/>
  <c r="N170" s="1"/>
  <c r="W172"/>
  <c r="N172" s="1"/>
  <c r="W174"/>
  <c r="N174" s="1"/>
  <c r="W176"/>
  <c r="N176" s="1"/>
  <c r="W180"/>
  <c r="N180" s="1"/>
  <c r="W182"/>
  <c r="N182" s="1"/>
  <c r="W184"/>
  <c r="N184" s="1"/>
  <c r="W186"/>
  <c r="N186" s="1"/>
  <c r="W188"/>
  <c r="N188" s="1"/>
  <c r="W190"/>
  <c r="N190" s="1"/>
  <c r="W192"/>
  <c r="N192" s="1"/>
  <c r="W194"/>
  <c r="N194" s="1"/>
  <c r="W196"/>
  <c r="N196" s="1"/>
  <c r="W198"/>
  <c r="N198" s="1"/>
  <c r="W200"/>
  <c r="N200" s="1"/>
  <c r="W202"/>
  <c r="N202" s="1"/>
  <c r="W204"/>
  <c r="N204" s="1"/>
  <c r="W206"/>
  <c r="N206" s="1"/>
  <c r="W210"/>
  <c r="N210" s="1"/>
  <c r="W212"/>
  <c r="N212" s="1"/>
  <c r="W214"/>
  <c r="N214" s="1"/>
  <c r="W216"/>
  <c r="N216" s="1"/>
  <c r="W218"/>
  <c r="N218" s="1"/>
  <c r="W222"/>
  <c r="N222" s="1"/>
  <c r="W224"/>
  <c r="N224" s="1"/>
  <c r="W226"/>
  <c r="N226" s="1"/>
  <c r="W230"/>
  <c r="N230" s="1"/>
  <c r="W232"/>
  <c r="N232" s="1"/>
  <c r="W234"/>
  <c r="N234" s="1"/>
  <c r="W238"/>
  <c r="N238" s="1"/>
  <c r="W240"/>
  <c r="N240" s="1"/>
  <c r="W242"/>
  <c r="N242" s="1"/>
  <c r="W246"/>
  <c r="N246" s="1"/>
  <c r="W248"/>
  <c r="N248" s="1"/>
  <c r="W250"/>
  <c r="N250" s="1"/>
  <c r="W178"/>
  <c r="N178" s="1"/>
  <c r="W208"/>
  <c r="N208" s="1"/>
  <c r="W220"/>
  <c r="N220" s="1"/>
  <c r="W228"/>
  <c r="N228" s="1"/>
  <c r="W236"/>
  <c r="N236" s="1"/>
  <c r="W244"/>
  <c r="N244" s="1"/>
  <c r="W252"/>
  <c r="N252" s="1"/>
  <c r="Q254" l="1"/>
</calcChain>
</file>

<file path=xl/sharedStrings.xml><?xml version="1.0" encoding="utf-8"?>
<sst xmlns="http://schemas.openxmlformats.org/spreadsheetml/2006/main" count="136" uniqueCount="94">
  <si>
    <t>OPTION2: Pipeline goes directly to BPT1</t>
  </si>
  <si>
    <t>OPTION 1: Pipeline goes through Serule before joining to BPT1</t>
  </si>
  <si>
    <t>Longitudinal profile data - Botswana pipeline</t>
  </si>
  <si>
    <t>Start</t>
  </si>
  <si>
    <t>CHAINAGE (km0</t>
  </si>
  <si>
    <t>NGL (m)</t>
  </si>
  <si>
    <t>End</t>
  </si>
  <si>
    <t>Estimated Transfer Rate Demand</t>
  </si>
  <si>
    <r>
      <t>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</t>
    </r>
  </si>
  <si>
    <t>Availible Days</t>
  </si>
  <si>
    <t>Pumping Hours</t>
  </si>
  <si>
    <t>Peak Design Flow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</si>
  <si>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</si>
  <si>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t>Pump Station</t>
  </si>
  <si>
    <t>Pipe Line</t>
  </si>
  <si>
    <t>Name</t>
  </si>
  <si>
    <t>Supply Resrvoir</t>
  </si>
  <si>
    <t>Chainage (km)</t>
  </si>
  <si>
    <t>Elevation (m)</t>
  </si>
  <si>
    <t>BPT 1</t>
  </si>
  <si>
    <t>Diameter (m)</t>
  </si>
  <si>
    <t>PipeVelocity (m/s)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</si>
  <si>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</si>
  <si>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</si>
  <si>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</si>
  <si>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</si>
  <si>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Friction Factors</t>
  </si>
  <si>
    <t>Re</t>
  </si>
  <si>
    <t>Kinemeatic Viscosity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</si>
  <si>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/s</t>
    </r>
  </si>
  <si>
    <t>Minor Loss - k</t>
  </si>
  <si>
    <t>Pumped Head (m)</t>
  </si>
  <si>
    <t>Static Head (m)</t>
  </si>
  <si>
    <t>Pumping Head (m)</t>
  </si>
  <si>
    <t>λ</t>
  </si>
  <si>
    <t>Route</t>
  </si>
  <si>
    <t>Botswana 1</t>
  </si>
  <si>
    <t>Botswana 2</t>
  </si>
  <si>
    <t>Option</t>
  </si>
  <si>
    <r>
      <t>Flow Rate (m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/s)</t>
    </r>
  </si>
  <si>
    <t>Height</t>
  </si>
  <si>
    <t>Water Elevation (m)</t>
  </si>
  <si>
    <t>HGL (m)</t>
  </si>
  <si>
    <t>Section Length (km)</t>
  </si>
  <si>
    <r>
      <t>H</t>
    </r>
    <r>
      <rPr>
        <b/>
        <vertAlign val="subscript"/>
        <sz val="11"/>
        <rFont val="Calibri"/>
        <family val="2"/>
        <scheme val="minor"/>
      </rPr>
      <t>f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</si>
  <si>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l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</si>
  <si>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total</t>
    </r>
    <r>
      <rPr>
        <b/>
        <sz val="11"/>
        <rFont val="Calibri"/>
        <family val="2"/>
        <scheme val="minor"/>
      </rPr>
      <t xml:space="preserve"> (m)</t>
    </r>
  </si>
  <si>
    <t>Average Pipe Hydraulics - Darcy Weisbach &amp; Karmen Prandtl Rough Pipes</t>
  </si>
  <si>
    <t>Old Pipe Hydraulics - Darcy Weisbach &amp; Karmen Prandtl Rough Pipes</t>
  </si>
  <si>
    <t>Biofilm Pipe Hydraulics - Darcy Weisbach &amp; Karmen Prandtl Rough Pipes</t>
  </si>
  <si>
    <t>New Pipe Hydraulics - Darcy Weisbach &amp; Karmen Prandtl Rough Pipes</t>
  </si>
  <si>
    <r>
      <t>P</t>
    </r>
    <r>
      <rPr>
        <b/>
        <vertAlign val="subscript"/>
        <sz val="11"/>
        <color theme="1"/>
        <rFont val="Calibri"/>
        <family val="2"/>
        <scheme val="minor"/>
      </rPr>
      <t>f</t>
    </r>
  </si>
  <si>
    <r>
      <t>P</t>
    </r>
    <r>
      <rPr>
        <b/>
        <vertAlign val="subscript"/>
        <sz val="10"/>
        <color theme="1"/>
        <rFont val="Calibri"/>
        <family val="2"/>
        <scheme val="minor"/>
      </rPr>
      <t>l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</si>
  <si>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R</t>
    </r>
  </si>
  <si>
    <t>Reference</t>
  </si>
  <si>
    <t>Dynamic Head (m)</t>
  </si>
  <si>
    <t>PS 1</t>
  </si>
  <si>
    <t>Steel Pipeline Design</t>
  </si>
  <si>
    <t>Design Pressure (m)</t>
  </si>
  <si>
    <t>Grade of Steel</t>
  </si>
  <si>
    <t>X42</t>
  </si>
  <si>
    <t>Yeild Capacity</t>
  </si>
  <si>
    <t>Mpa</t>
  </si>
  <si>
    <t>Design % of Yeild</t>
  </si>
  <si>
    <t>Minimum D/t ratio</t>
  </si>
  <si>
    <t>Pipe Wall thickness (mm)</t>
  </si>
  <si>
    <t>mm/mm</t>
  </si>
  <si>
    <t>Steel Mass (kg)</t>
  </si>
  <si>
    <t xml:space="preserve">Pump Station </t>
  </si>
  <si>
    <t>Item</t>
  </si>
  <si>
    <t>Chainage</t>
  </si>
  <si>
    <t>Value</t>
  </si>
  <si>
    <t>Pipeline</t>
  </si>
  <si>
    <t>0-8</t>
  </si>
  <si>
    <t>m - Diameter</t>
  </si>
  <si>
    <t>Reservoirs</t>
  </si>
  <si>
    <t>Total Steel Mass (kg):</t>
  </si>
  <si>
    <t>m - Pumping Head</t>
  </si>
  <si>
    <t>BPT 3</t>
  </si>
  <si>
    <t>8-22</t>
  </si>
  <si>
    <t>Break Pressure</t>
  </si>
  <si>
    <t>m - Elevation</t>
  </si>
  <si>
    <t>m -Elevation</t>
  </si>
  <si>
    <t>m -Diameter</t>
  </si>
  <si>
    <t>336-478</t>
  </si>
  <si>
    <t>478-500</t>
  </si>
  <si>
    <t>PS3</t>
  </si>
  <si>
    <t>BPT 5</t>
  </si>
  <si>
    <t>22-158</t>
  </si>
  <si>
    <t>158-228</t>
  </si>
  <si>
    <t>228-336</t>
  </si>
  <si>
    <t>4B</t>
  </si>
  <si>
    <t>Option 4B</t>
  </si>
  <si>
    <t>Option 4B Summary</t>
  </si>
</sst>
</file>

<file path=xl/styles.xml><?xml version="1.0" encoding="utf-8"?>
<styleSheet xmlns="http://schemas.openxmlformats.org/spreadsheetml/2006/main">
  <numFmts count="4">
    <numFmt numFmtId="164" formatCode="0.000000"/>
    <numFmt numFmtId="165" formatCode="0.000"/>
    <numFmt numFmtId="166" formatCode="0.0"/>
    <numFmt numFmtId="167" formatCode="&quot;R&quot;\ #,##0"/>
  </numFmts>
  <fonts count="17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</font>
    <font>
      <b/>
      <vertAlign val="subscript"/>
      <sz val="1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5" fillId="4" borderId="1" xfId="0" applyFont="1" applyFill="1" applyBorder="1"/>
    <xf numFmtId="0" fontId="7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5" fontId="0" fillId="0" borderId="1" xfId="0" applyNumberFormat="1" applyBorder="1"/>
    <xf numFmtId="0" fontId="5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vertical="center"/>
    </xf>
    <xf numFmtId="0" fontId="10" fillId="4" borderId="7" xfId="0" applyFont="1" applyFill="1" applyBorder="1" applyAlignment="1">
      <alignment vertical="center"/>
    </xf>
    <xf numFmtId="0" fontId="5" fillId="4" borderId="19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4" borderId="5" xfId="0" applyFont="1" applyFill="1" applyBorder="1" applyAlignment="1">
      <alignment vertical="center"/>
    </xf>
    <xf numFmtId="0" fontId="14" fillId="0" borderId="0" xfId="0" applyFont="1" applyAlignment="1">
      <alignment horizontal="left" vertical="center"/>
    </xf>
    <xf numFmtId="1" fontId="0" fillId="0" borderId="9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11" fontId="0" fillId="5" borderId="1" xfId="0" applyNumberForma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9" fontId="0" fillId="5" borderId="1" xfId="0" applyNumberFormat="1" applyFill="1" applyBorder="1" applyAlignment="1">
      <alignment horizontal="center"/>
    </xf>
    <xf numFmtId="166" fontId="0" fillId="0" borderId="3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0" fontId="0" fillId="0" borderId="28" xfId="0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15" fillId="5" borderId="24" xfId="0" applyFont="1" applyFill="1" applyBorder="1" applyAlignment="1">
      <alignment horizontal="center" vertical="center"/>
    </xf>
    <xf numFmtId="0" fontId="15" fillId="5" borderId="25" xfId="0" applyFont="1" applyFill="1" applyBorder="1" applyAlignment="1">
      <alignment horizontal="center" vertical="center"/>
    </xf>
    <xf numFmtId="0" fontId="15" fillId="5" borderId="26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Botswana Pre-Feasibilty</a:t>
            </a:r>
            <a:r>
              <a:rPr lang="en-ZA" baseline="0"/>
              <a:t> Study Longitudanal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Botswana 1</c:v>
          </c:tx>
          <c:marker>
            <c:symbol val="none"/>
          </c:marker>
          <c:xVal>
            <c:numRef>
              <c:f>'Profile data'!$A$4:$A$263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'Profile data'!$B$4:$B$263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ser>
          <c:idx val="1"/>
          <c:order val="1"/>
          <c:tx>
            <c:v>Botswana 2</c:v>
          </c:tx>
          <c:marker>
            <c:symbol val="none"/>
          </c:marker>
          <c:dLbls>
            <c:dLbl>
              <c:idx val="66"/>
              <c:layout/>
              <c:showVal val="1"/>
            </c:dLbl>
            <c:dLbl>
              <c:idx val="113"/>
              <c:layout/>
              <c:showVal val="1"/>
            </c:dLbl>
            <c:dLbl>
              <c:idx val="136"/>
              <c:layout/>
              <c:showVal val="1"/>
            </c:dLbl>
            <c:delete val="1"/>
          </c:dLbls>
          <c:xVal>
            <c:numRef>
              <c:f>'Profile data'!$A$4:$A$253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'Profile data'!$C$4:$C$253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axId val="90185728"/>
        <c:axId val="90187648"/>
      </c:scatterChart>
      <c:valAx>
        <c:axId val="901857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187648"/>
        <c:crosses val="autoZero"/>
        <c:crossBetween val="midCat"/>
      </c:valAx>
      <c:valAx>
        <c:axId val="9018764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1857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Figure 18: Option 4B Longitudinal</a:t>
            </a:r>
            <a:r>
              <a:rPr lang="en-ZA" baseline="0"/>
              <a:t> and Energy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NGL</c:v>
          </c:tx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Hydraulics!$G$4:$G$253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ser>
          <c:idx val="0"/>
          <c:order val="1"/>
          <c:tx>
            <c:v>Hydraulic Grade Line New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Hydraulics!$X$4:$X$253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1077.9898996015952</c:v>
                </c:pt>
                <c:pt idx="2">
                  <c:v>1076.9617992031904</c:v>
                </c:pt>
                <c:pt idx="3">
                  <c:v>1125.9336988047855</c:v>
                </c:pt>
                <c:pt idx="4">
                  <c:v>1124.9055984063807</c:v>
                </c:pt>
                <c:pt idx="5">
                  <c:v>1123.8774980079759</c:v>
                </c:pt>
                <c:pt idx="6">
                  <c:v>1122.849397609571</c:v>
                </c:pt>
                <c:pt idx="7">
                  <c:v>1121.8212972111662</c:v>
                </c:pt>
                <c:pt idx="8">
                  <c:v>1120.7931968127614</c:v>
                </c:pt>
                <c:pt idx="9">
                  <c:v>1119.7650964143565</c:v>
                </c:pt>
                <c:pt idx="10">
                  <c:v>1111.67</c:v>
                </c:pt>
                <c:pt idx="11">
                  <c:v>1110.6418996015952</c:v>
                </c:pt>
                <c:pt idx="12">
                  <c:v>1109.6137992031904</c:v>
                </c:pt>
                <c:pt idx="13">
                  <c:v>1108.5856988047856</c:v>
                </c:pt>
                <c:pt idx="14">
                  <c:v>1107.5575984063807</c:v>
                </c:pt>
                <c:pt idx="15">
                  <c:v>1106.5294980079759</c:v>
                </c:pt>
                <c:pt idx="16">
                  <c:v>1105.5013976095711</c:v>
                </c:pt>
                <c:pt idx="17">
                  <c:v>1104.4732972111663</c:v>
                </c:pt>
                <c:pt idx="18">
                  <c:v>1103.4451968127614</c:v>
                </c:pt>
                <c:pt idx="19">
                  <c:v>1102.4170964143566</c:v>
                </c:pt>
                <c:pt idx="20">
                  <c:v>1101.3889960159518</c:v>
                </c:pt>
                <c:pt idx="21">
                  <c:v>1100.3608956175469</c:v>
                </c:pt>
                <c:pt idx="22">
                  <c:v>1099.3327952191421</c:v>
                </c:pt>
                <c:pt idx="23">
                  <c:v>1098.3046948207373</c:v>
                </c:pt>
                <c:pt idx="24">
                  <c:v>1097.2765944223324</c:v>
                </c:pt>
                <c:pt idx="25">
                  <c:v>1096.2484940239276</c:v>
                </c:pt>
                <c:pt idx="26">
                  <c:v>1095.2203936255228</c:v>
                </c:pt>
                <c:pt idx="27">
                  <c:v>1094.1922932271179</c:v>
                </c:pt>
                <c:pt idx="28">
                  <c:v>1093.1641928287131</c:v>
                </c:pt>
                <c:pt idx="29">
                  <c:v>1092.1360924303083</c:v>
                </c:pt>
                <c:pt idx="30">
                  <c:v>1091.1079920319034</c:v>
                </c:pt>
                <c:pt idx="31">
                  <c:v>1090.0798916334986</c:v>
                </c:pt>
                <c:pt idx="32">
                  <c:v>1089.0517912350938</c:v>
                </c:pt>
                <c:pt idx="33">
                  <c:v>1088.023690836689</c:v>
                </c:pt>
                <c:pt idx="34">
                  <c:v>1086.9955904382841</c:v>
                </c:pt>
                <c:pt idx="35">
                  <c:v>1085.9674900398793</c:v>
                </c:pt>
                <c:pt idx="36">
                  <c:v>1084.9393896414745</c:v>
                </c:pt>
                <c:pt idx="37">
                  <c:v>1083.9112892430696</c:v>
                </c:pt>
                <c:pt idx="38">
                  <c:v>1082.8831888446648</c:v>
                </c:pt>
                <c:pt idx="39">
                  <c:v>1081.85508844626</c:v>
                </c:pt>
                <c:pt idx="40">
                  <c:v>1080.8269880478551</c:v>
                </c:pt>
                <c:pt idx="41">
                  <c:v>1079.7988876494503</c:v>
                </c:pt>
                <c:pt idx="42">
                  <c:v>1078.7707872510455</c:v>
                </c:pt>
                <c:pt idx="43">
                  <c:v>1077.7426868526406</c:v>
                </c:pt>
                <c:pt idx="44">
                  <c:v>1076.7145864542358</c:v>
                </c:pt>
                <c:pt idx="45">
                  <c:v>1075.686486055831</c:v>
                </c:pt>
                <c:pt idx="46">
                  <c:v>1074.6583856574262</c:v>
                </c:pt>
                <c:pt idx="47">
                  <c:v>1073.6302852590213</c:v>
                </c:pt>
                <c:pt idx="48">
                  <c:v>1072.6021848606165</c:v>
                </c:pt>
                <c:pt idx="49">
                  <c:v>1071.5740844622117</c:v>
                </c:pt>
                <c:pt idx="50">
                  <c:v>1070.5459840638068</c:v>
                </c:pt>
                <c:pt idx="51">
                  <c:v>1069.517883665402</c:v>
                </c:pt>
                <c:pt idx="52">
                  <c:v>1068.4897832669972</c:v>
                </c:pt>
                <c:pt idx="53">
                  <c:v>1067.4616828685923</c:v>
                </c:pt>
                <c:pt idx="54">
                  <c:v>1066.4335824701875</c:v>
                </c:pt>
                <c:pt idx="55">
                  <c:v>1065.4054820717827</c:v>
                </c:pt>
                <c:pt idx="56">
                  <c:v>1064.3773816733778</c:v>
                </c:pt>
                <c:pt idx="57">
                  <c:v>1063.349281274973</c:v>
                </c:pt>
                <c:pt idx="58">
                  <c:v>1062.3211808765682</c:v>
                </c:pt>
                <c:pt idx="59">
                  <c:v>1061.2930804781633</c:v>
                </c:pt>
                <c:pt idx="60">
                  <c:v>1060.2649800797585</c:v>
                </c:pt>
                <c:pt idx="61">
                  <c:v>1059.2368796813537</c:v>
                </c:pt>
                <c:pt idx="62">
                  <c:v>1058.2087792829489</c:v>
                </c:pt>
                <c:pt idx="63">
                  <c:v>1057.180678884544</c:v>
                </c:pt>
                <c:pt idx="64">
                  <c:v>1056.1525784861392</c:v>
                </c:pt>
                <c:pt idx="65">
                  <c:v>1055.1244780877344</c:v>
                </c:pt>
                <c:pt idx="66">
                  <c:v>1054.0963776893295</c:v>
                </c:pt>
                <c:pt idx="67">
                  <c:v>1053.0682772909247</c:v>
                </c:pt>
                <c:pt idx="68">
                  <c:v>1052.0401768925199</c:v>
                </c:pt>
                <c:pt idx="69">
                  <c:v>1051.012076494115</c:v>
                </c:pt>
                <c:pt idx="70">
                  <c:v>1049.9839760957102</c:v>
                </c:pt>
                <c:pt idx="71">
                  <c:v>1048.9558756973054</c:v>
                </c:pt>
                <c:pt idx="72">
                  <c:v>1047.9277752989005</c:v>
                </c:pt>
                <c:pt idx="73">
                  <c:v>1046.8996749004957</c:v>
                </c:pt>
                <c:pt idx="74">
                  <c:v>1045.8715745020909</c:v>
                </c:pt>
                <c:pt idx="75">
                  <c:v>1044.843474103686</c:v>
                </c:pt>
                <c:pt idx="76">
                  <c:v>1043.8153737052812</c:v>
                </c:pt>
                <c:pt idx="77">
                  <c:v>1042.7872733068764</c:v>
                </c:pt>
                <c:pt idx="78">
                  <c:v>1041.7591729084716</c:v>
                </c:pt>
                <c:pt idx="79">
                  <c:v>1040.4051909549278</c:v>
                </c:pt>
                <c:pt idx="80">
                  <c:v>1039.051209001384</c:v>
                </c:pt>
                <c:pt idx="81">
                  <c:v>1037.6972270478402</c:v>
                </c:pt>
                <c:pt idx="82">
                  <c:v>1036.3432450942964</c:v>
                </c:pt>
                <c:pt idx="83">
                  <c:v>1034.9892631407527</c:v>
                </c:pt>
                <c:pt idx="84">
                  <c:v>1033.6352811872089</c:v>
                </c:pt>
                <c:pt idx="85">
                  <c:v>1032.2812992336651</c:v>
                </c:pt>
                <c:pt idx="86">
                  <c:v>1030.9273172801213</c:v>
                </c:pt>
                <c:pt idx="87">
                  <c:v>1029.5733353265775</c:v>
                </c:pt>
                <c:pt idx="88">
                  <c:v>1028.2193533730338</c:v>
                </c:pt>
                <c:pt idx="89">
                  <c:v>1026.86537141949</c:v>
                </c:pt>
                <c:pt idx="90">
                  <c:v>1025.5113894659462</c:v>
                </c:pt>
                <c:pt idx="91">
                  <c:v>1024.1574075124024</c:v>
                </c:pt>
                <c:pt idx="92">
                  <c:v>1022.8034255588586</c:v>
                </c:pt>
                <c:pt idx="93">
                  <c:v>1021.4494436053149</c:v>
                </c:pt>
                <c:pt idx="94">
                  <c:v>1020.0954616517711</c:v>
                </c:pt>
                <c:pt idx="95">
                  <c:v>1018.7414796982273</c:v>
                </c:pt>
                <c:pt idx="96">
                  <c:v>1017.3874977446835</c:v>
                </c:pt>
                <c:pt idx="97">
                  <c:v>1016.0335157911397</c:v>
                </c:pt>
                <c:pt idx="98">
                  <c:v>1014.679533837596</c:v>
                </c:pt>
                <c:pt idx="99">
                  <c:v>1013.3255518840522</c:v>
                </c:pt>
                <c:pt idx="100">
                  <c:v>1011.9715699305084</c:v>
                </c:pt>
                <c:pt idx="101">
                  <c:v>1010.6175879769646</c:v>
                </c:pt>
                <c:pt idx="102">
                  <c:v>1009.2636060234208</c:v>
                </c:pt>
                <c:pt idx="103">
                  <c:v>1007.9096240698771</c:v>
                </c:pt>
                <c:pt idx="104">
                  <c:v>1006.5556421163333</c:v>
                </c:pt>
                <c:pt idx="105">
                  <c:v>1005.2016601627895</c:v>
                </c:pt>
                <c:pt idx="106">
                  <c:v>1003.8476782092457</c:v>
                </c:pt>
                <c:pt idx="107">
                  <c:v>1002.4936962557019</c:v>
                </c:pt>
                <c:pt idx="108">
                  <c:v>1001.1397143021582</c:v>
                </c:pt>
                <c:pt idx="109">
                  <c:v>999.78573234861437</c:v>
                </c:pt>
                <c:pt idx="110">
                  <c:v>998.43175039507059</c:v>
                </c:pt>
                <c:pt idx="111">
                  <c:v>997.07776844152681</c:v>
                </c:pt>
                <c:pt idx="112">
                  <c:v>995.72378648798303</c:v>
                </c:pt>
                <c:pt idx="113">
                  <c:v>1183.4839999999999</c:v>
                </c:pt>
                <c:pt idx="114">
                  <c:v>1182.9960291028685</c:v>
                </c:pt>
                <c:pt idx="115">
                  <c:v>1182.5080582057371</c:v>
                </c:pt>
                <c:pt idx="116">
                  <c:v>1182.0200873086058</c:v>
                </c:pt>
                <c:pt idx="117">
                  <c:v>1181.5321164114744</c:v>
                </c:pt>
                <c:pt idx="118">
                  <c:v>1181.044145514343</c:v>
                </c:pt>
                <c:pt idx="119">
                  <c:v>1180.5561746172116</c:v>
                </c:pt>
                <c:pt idx="120">
                  <c:v>1180.0682037200802</c:v>
                </c:pt>
                <c:pt idx="121">
                  <c:v>1179.5802328229488</c:v>
                </c:pt>
                <c:pt idx="122">
                  <c:v>1179.0922619258174</c:v>
                </c:pt>
                <c:pt idx="123">
                  <c:v>1178.604291028686</c:v>
                </c:pt>
                <c:pt idx="124">
                  <c:v>1178.1163201315546</c:v>
                </c:pt>
                <c:pt idx="125">
                  <c:v>1177.6283492344232</c:v>
                </c:pt>
                <c:pt idx="126">
                  <c:v>1177.1403783372918</c:v>
                </c:pt>
                <c:pt idx="127">
                  <c:v>1176.6524074401605</c:v>
                </c:pt>
                <c:pt idx="128">
                  <c:v>1176.1644365430291</c:v>
                </c:pt>
                <c:pt idx="129">
                  <c:v>1175.6764656458977</c:v>
                </c:pt>
                <c:pt idx="130">
                  <c:v>1175.1884947487663</c:v>
                </c:pt>
                <c:pt idx="131">
                  <c:v>1174.7005238516349</c:v>
                </c:pt>
                <c:pt idx="132">
                  <c:v>1174.2125529545035</c:v>
                </c:pt>
                <c:pt idx="133">
                  <c:v>1173.7245820573721</c:v>
                </c:pt>
                <c:pt idx="134">
                  <c:v>1173.2366111602407</c:v>
                </c:pt>
                <c:pt idx="135">
                  <c:v>1172.7486402631093</c:v>
                </c:pt>
                <c:pt idx="136">
                  <c:v>1172.2606693659779</c:v>
                </c:pt>
                <c:pt idx="137">
                  <c:v>1171.7726984688466</c:v>
                </c:pt>
                <c:pt idx="138">
                  <c:v>1171.2847275717152</c:v>
                </c:pt>
                <c:pt idx="139">
                  <c:v>1170.7967566745838</c:v>
                </c:pt>
                <c:pt idx="140">
                  <c:v>1170.3087857774524</c:v>
                </c:pt>
                <c:pt idx="141">
                  <c:v>1169.820814880321</c:v>
                </c:pt>
                <c:pt idx="142">
                  <c:v>1169.3328439831896</c:v>
                </c:pt>
                <c:pt idx="143">
                  <c:v>1168.8448730860582</c:v>
                </c:pt>
                <c:pt idx="144">
                  <c:v>1168.3569021889268</c:v>
                </c:pt>
                <c:pt idx="145">
                  <c:v>1167.8689312917954</c:v>
                </c:pt>
                <c:pt idx="146">
                  <c:v>1167.380960394664</c:v>
                </c:pt>
                <c:pt idx="147">
                  <c:v>1166.8929894975327</c:v>
                </c:pt>
                <c:pt idx="148">
                  <c:v>1166.4050186004013</c:v>
                </c:pt>
                <c:pt idx="149">
                  <c:v>1165.9170477032699</c:v>
                </c:pt>
                <c:pt idx="150">
                  <c:v>1165.4290768061385</c:v>
                </c:pt>
                <c:pt idx="151">
                  <c:v>1164.9411059090071</c:v>
                </c:pt>
                <c:pt idx="152">
                  <c:v>1164.4531350118757</c:v>
                </c:pt>
                <c:pt idx="153">
                  <c:v>1163.9651641147443</c:v>
                </c:pt>
                <c:pt idx="154">
                  <c:v>1163.4771932176129</c:v>
                </c:pt>
                <c:pt idx="155">
                  <c:v>1162.9892223204815</c:v>
                </c:pt>
                <c:pt idx="156">
                  <c:v>1162.5012514233501</c:v>
                </c:pt>
                <c:pt idx="157">
                  <c:v>1162.0132805262188</c:v>
                </c:pt>
                <c:pt idx="158">
                  <c:v>1161.5253096290874</c:v>
                </c:pt>
                <c:pt idx="159">
                  <c:v>1161.037338731956</c:v>
                </c:pt>
                <c:pt idx="160">
                  <c:v>1160.5493678348246</c:v>
                </c:pt>
                <c:pt idx="161">
                  <c:v>1160.0613969376932</c:v>
                </c:pt>
                <c:pt idx="162">
                  <c:v>1159.5734260405618</c:v>
                </c:pt>
                <c:pt idx="163">
                  <c:v>1159.0854551434304</c:v>
                </c:pt>
                <c:pt idx="164">
                  <c:v>1158.597484246299</c:v>
                </c:pt>
                <c:pt idx="165">
                  <c:v>1158.1095133491676</c:v>
                </c:pt>
                <c:pt idx="166">
                  <c:v>1157.6215424520362</c:v>
                </c:pt>
                <c:pt idx="167">
                  <c:v>1156.2675604984925</c:v>
                </c:pt>
                <c:pt idx="168">
                  <c:v>1154.9135785449487</c:v>
                </c:pt>
                <c:pt idx="169">
                  <c:v>1153.5595965914049</c:v>
                </c:pt>
                <c:pt idx="170">
                  <c:v>1152.2056146378611</c:v>
                </c:pt>
                <c:pt idx="171">
                  <c:v>1150.8516326843173</c:v>
                </c:pt>
                <c:pt idx="172">
                  <c:v>1149.4976507307736</c:v>
                </c:pt>
                <c:pt idx="173">
                  <c:v>1148.1436687772298</c:v>
                </c:pt>
                <c:pt idx="174">
                  <c:v>1146.789686823686</c:v>
                </c:pt>
                <c:pt idx="175">
                  <c:v>1145.4357048701422</c:v>
                </c:pt>
                <c:pt idx="176">
                  <c:v>1144.0817229165984</c:v>
                </c:pt>
                <c:pt idx="177">
                  <c:v>1142.7277409630547</c:v>
                </c:pt>
                <c:pt idx="178">
                  <c:v>1141.3737590095109</c:v>
                </c:pt>
                <c:pt idx="179">
                  <c:v>1140.0197770559671</c:v>
                </c:pt>
                <c:pt idx="180">
                  <c:v>1138.6657951024233</c:v>
                </c:pt>
                <c:pt idx="181">
                  <c:v>1137.3118131488795</c:v>
                </c:pt>
                <c:pt idx="182">
                  <c:v>1135.9578311953358</c:v>
                </c:pt>
                <c:pt idx="183">
                  <c:v>1134.603849241792</c:v>
                </c:pt>
                <c:pt idx="184">
                  <c:v>1133.2498672882482</c:v>
                </c:pt>
                <c:pt idx="185">
                  <c:v>1131.8958853347044</c:v>
                </c:pt>
                <c:pt idx="186">
                  <c:v>1130.5419033811606</c:v>
                </c:pt>
                <c:pt idx="187">
                  <c:v>1129.1879214276169</c:v>
                </c:pt>
                <c:pt idx="188">
                  <c:v>1127.8339394740731</c:v>
                </c:pt>
                <c:pt idx="189">
                  <c:v>1126.4799575205293</c:v>
                </c:pt>
                <c:pt idx="190">
                  <c:v>1125.1259755669855</c:v>
                </c:pt>
                <c:pt idx="191">
                  <c:v>1123.7719936134417</c:v>
                </c:pt>
                <c:pt idx="192">
                  <c:v>1122.418011659898</c:v>
                </c:pt>
                <c:pt idx="193">
                  <c:v>1121.0640297063542</c:v>
                </c:pt>
                <c:pt idx="194">
                  <c:v>1119.7100477528104</c:v>
                </c:pt>
                <c:pt idx="195">
                  <c:v>1118.3560657992666</c:v>
                </c:pt>
                <c:pt idx="196">
                  <c:v>1117.0020838457228</c:v>
                </c:pt>
                <c:pt idx="197">
                  <c:v>1115.6481018921791</c:v>
                </c:pt>
                <c:pt idx="198">
                  <c:v>1114.2941199386353</c:v>
                </c:pt>
                <c:pt idx="199">
                  <c:v>1112.9401379850915</c:v>
                </c:pt>
                <c:pt idx="200">
                  <c:v>1111.5861560315477</c:v>
                </c:pt>
                <c:pt idx="201">
                  <c:v>1110.2321740780039</c:v>
                </c:pt>
                <c:pt idx="202">
                  <c:v>1108.8781921244602</c:v>
                </c:pt>
                <c:pt idx="203">
                  <c:v>1107.5242101709164</c:v>
                </c:pt>
                <c:pt idx="204">
                  <c:v>1106.1702282173726</c:v>
                </c:pt>
                <c:pt idx="205">
                  <c:v>1104.8162462638288</c:v>
                </c:pt>
                <c:pt idx="206">
                  <c:v>1103.462264310285</c:v>
                </c:pt>
                <c:pt idx="207">
                  <c:v>1102.1082823567413</c:v>
                </c:pt>
                <c:pt idx="208">
                  <c:v>1100.7543004031975</c:v>
                </c:pt>
                <c:pt idx="209">
                  <c:v>1099.4003184496537</c:v>
                </c:pt>
                <c:pt idx="210">
                  <c:v>1098.0463364961099</c:v>
                </c:pt>
                <c:pt idx="211">
                  <c:v>1096.6923545425661</c:v>
                </c:pt>
                <c:pt idx="212">
                  <c:v>1095.3383725890224</c:v>
                </c:pt>
                <c:pt idx="213">
                  <c:v>1093.9843906354786</c:v>
                </c:pt>
                <c:pt idx="214">
                  <c:v>1092.6304086819348</c:v>
                </c:pt>
                <c:pt idx="215">
                  <c:v>1091.276426728391</c:v>
                </c:pt>
                <c:pt idx="216">
                  <c:v>1089.9224447748472</c:v>
                </c:pt>
                <c:pt idx="217">
                  <c:v>1088.5684628213035</c:v>
                </c:pt>
                <c:pt idx="218">
                  <c:v>1087.2144808677597</c:v>
                </c:pt>
                <c:pt idx="219">
                  <c:v>1085.8604989142159</c:v>
                </c:pt>
                <c:pt idx="220">
                  <c:v>1084.5065169606721</c:v>
                </c:pt>
                <c:pt idx="221">
                  <c:v>1083.1525350071283</c:v>
                </c:pt>
                <c:pt idx="222">
                  <c:v>1081.7985530535846</c:v>
                </c:pt>
                <c:pt idx="223">
                  <c:v>1080.4445711000408</c:v>
                </c:pt>
                <c:pt idx="224">
                  <c:v>1079.090589146497</c:v>
                </c:pt>
                <c:pt idx="225">
                  <c:v>1077.7366071929532</c:v>
                </c:pt>
                <c:pt idx="226">
                  <c:v>1076.3826252394094</c:v>
                </c:pt>
                <c:pt idx="227">
                  <c:v>1075.0286432858657</c:v>
                </c:pt>
                <c:pt idx="228">
                  <c:v>1073.6746613323219</c:v>
                </c:pt>
                <c:pt idx="229">
                  <c:v>1072.3206793787781</c:v>
                </c:pt>
                <c:pt idx="230">
                  <c:v>1070.9666974252343</c:v>
                </c:pt>
                <c:pt idx="231">
                  <c:v>1069.6127154716905</c:v>
                </c:pt>
                <c:pt idx="232">
                  <c:v>1068.2587335181468</c:v>
                </c:pt>
                <c:pt idx="233">
                  <c:v>1066.904751564603</c:v>
                </c:pt>
                <c:pt idx="234">
                  <c:v>1065.5507696110592</c:v>
                </c:pt>
                <c:pt idx="235">
                  <c:v>1064.1967876575154</c:v>
                </c:pt>
                <c:pt idx="236">
                  <c:v>1062.8428057039716</c:v>
                </c:pt>
                <c:pt idx="237">
                  <c:v>1061.4888237504279</c:v>
                </c:pt>
                <c:pt idx="238">
                  <c:v>1058.0562129274765</c:v>
                </c:pt>
                <c:pt idx="239">
                  <c:v>1054.6236021045252</c:v>
                </c:pt>
                <c:pt idx="240">
                  <c:v>1051.1909912815738</c:v>
                </c:pt>
                <c:pt idx="241">
                  <c:v>1047.7583804586225</c:v>
                </c:pt>
                <c:pt idx="242">
                  <c:v>1044.3257696356711</c:v>
                </c:pt>
                <c:pt idx="243">
                  <c:v>1040.8931588127198</c:v>
                </c:pt>
                <c:pt idx="244">
                  <c:v>1037.4605479897684</c:v>
                </c:pt>
                <c:pt idx="245">
                  <c:v>1034.0279371668171</c:v>
                </c:pt>
                <c:pt idx="246">
                  <c:v>1030.5953263438657</c:v>
                </c:pt>
                <c:pt idx="247">
                  <c:v>1027.1627155209144</c:v>
                </c:pt>
                <c:pt idx="248">
                  <c:v>1023.7301046979632</c:v>
                </c:pt>
                <c:pt idx="249">
                  <c:v>929.62900000000002</c:v>
                </c:pt>
              </c:numCache>
            </c:numRef>
          </c:yVal>
        </c:ser>
        <c:ser>
          <c:idx val="2"/>
          <c:order val="2"/>
          <c:tx>
            <c:v>Hydraulic Grade Line Average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Hydraulics!$AE$4:$AE$253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1077.8719150329525</c:v>
                </c:pt>
                <c:pt idx="2">
                  <c:v>1076.725830065905</c:v>
                </c:pt>
                <c:pt idx="3">
                  <c:v>1125.5797450988575</c:v>
                </c:pt>
                <c:pt idx="4">
                  <c:v>1124.43366013181</c:v>
                </c:pt>
                <c:pt idx="5">
                  <c:v>1123.2875751647625</c:v>
                </c:pt>
                <c:pt idx="6">
                  <c:v>1122.141490197715</c:v>
                </c:pt>
                <c:pt idx="7">
                  <c:v>1120.9954052306675</c:v>
                </c:pt>
                <c:pt idx="8">
                  <c:v>1119.84932026362</c:v>
                </c:pt>
                <c:pt idx="9">
                  <c:v>1118.7032352965725</c:v>
                </c:pt>
                <c:pt idx="10">
                  <c:v>1111.67</c:v>
                </c:pt>
                <c:pt idx="11">
                  <c:v>1110.5239150329526</c:v>
                </c:pt>
                <c:pt idx="12">
                  <c:v>1109.3778300659051</c:v>
                </c:pt>
                <c:pt idx="13">
                  <c:v>1108.2317450988576</c:v>
                </c:pt>
                <c:pt idx="14">
                  <c:v>1107.0856601318101</c:v>
                </c:pt>
                <c:pt idx="15">
                  <c:v>1105.9395751647626</c:v>
                </c:pt>
                <c:pt idx="16">
                  <c:v>1104.7934901977151</c:v>
                </c:pt>
                <c:pt idx="17">
                  <c:v>1103.6474052306676</c:v>
                </c:pt>
                <c:pt idx="18">
                  <c:v>1102.5013202636201</c:v>
                </c:pt>
                <c:pt idx="19">
                  <c:v>1101.3552352965726</c:v>
                </c:pt>
                <c:pt idx="20">
                  <c:v>1100.2091503295251</c:v>
                </c:pt>
                <c:pt idx="21">
                  <c:v>1099.0630653624776</c:v>
                </c:pt>
                <c:pt idx="22">
                  <c:v>1097.9169803954301</c:v>
                </c:pt>
                <c:pt idx="23">
                  <c:v>1096.7708954283826</c:v>
                </c:pt>
                <c:pt idx="24">
                  <c:v>1095.6248104613351</c:v>
                </c:pt>
                <c:pt idx="25">
                  <c:v>1094.4787254942876</c:v>
                </c:pt>
                <c:pt idx="26">
                  <c:v>1093.3326405272401</c:v>
                </c:pt>
                <c:pt idx="27">
                  <c:v>1092.1865555601926</c:v>
                </c:pt>
                <c:pt idx="28">
                  <c:v>1091.0404705931451</c:v>
                </c:pt>
                <c:pt idx="29">
                  <c:v>1089.8943856260976</c:v>
                </c:pt>
                <c:pt idx="30">
                  <c:v>1088.7483006590501</c:v>
                </c:pt>
                <c:pt idx="31">
                  <c:v>1087.6022156920026</c:v>
                </c:pt>
                <c:pt idx="32">
                  <c:v>1086.4561307249551</c:v>
                </c:pt>
                <c:pt idx="33">
                  <c:v>1085.3100457579076</c:v>
                </c:pt>
                <c:pt idx="34">
                  <c:v>1084.1639607908601</c:v>
                </c:pt>
                <c:pt idx="35">
                  <c:v>1083.0178758238126</c:v>
                </c:pt>
                <c:pt idx="36">
                  <c:v>1081.8717908567651</c:v>
                </c:pt>
                <c:pt idx="37">
                  <c:v>1080.7257058897176</c:v>
                </c:pt>
                <c:pt idx="38">
                  <c:v>1079.5796209226701</c:v>
                </c:pt>
                <c:pt idx="39">
                  <c:v>1078.4335359556226</c:v>
                </c:pt>
                <c:pt idx="40">
                  <c:v>1077.2874509885751</c:v>
                </c:pt>
                <c:pt idx="41">
                  <c:v>1076.1413660215276</c:v>
                </c:pt>
                <c:pt idx="42">
                  <c:v>1074.9952810544801</c:v>
                </c:pt>
                <c:pt idx="43">
                  <c:v>1073.8491960874326</c:v>
                </c:pt>
                <c:pt idx="44">
                  <c:v>1072.7031111203851</c:v>
                </c:pt>
                <c:pt idx="45">
                  <c:v>1071.5570261533376</c:v>
                </c:pt>
                <c:pt idx="46">
                  <c:v>1070.4109411862901</c:v>
                </c:pt>
                <c:pt idx="47">
                  <c:v>1069.2648562192426</c:v>
                </c:pt>
                <c:pt idx="48">
                  <c:v>1068.1187712521951</c:v>
                </c:pt>
                <c:pt idx="49">
                  <c:v>1066.9726862851476</c:v>
                </c:pt>
                <c:pt idx="50">
                  <c:v>1065.8266013181001</c:v>
                </c:pt>
                <c:pt idx="51">
                  <c:v>1064.6805163510526</c:v>
                </c:pt>
                <c:pt idx="52">
                  <c:v>1063.5344313840051</c:v>
                </c:pt>
                <c:pt idx="53">
                  <c:v>1062.3883464169576</c:v>
                </c:pt>
                <c:pt idx="54">
                  <c:v>1061.2422614499101</c:v>
                </c:pt>
                <c:pt idx="55">
                  <c:v>1060.0961764828626</c:v>
                </c:pt>
                <c:pt idx="56">
                  <c:v>1058.9500915158151</c:v>
                </c:pt>
                <c:pt idx="57">
                  <c:v>1057.8040065487676</c:v>
                </c:pt>
                <c:pt idx="58">
                  <c:v>1056.6579215817201</c:v>
                </c:pt>
                <c:pt idx="59">
                  <c:v>1055.5118366146726</c:v>
                </c:pt>
                <c:pt idx="60">
                  <c:v>1054.3657516476251</c:v>
                </c:pt>
                <c:pt idx="61">
                  <c:v>1053.2196666805776</c:v>
                </c:pt>
                <c:pt idx="62">
                  <c:v>1052.0735817135301</c:v>
                </c:pt>
                <c:pt idx="63">
                  <c:v>1050.9274967464826</c:v>
                </c:pt>
                <c:pt idx="64">
                  <c:v>1049.7814117794351</c:v>
                </c:pt>
                <c:pt idx="65">
                  <c:v>1048.6353268123876</c:v>
                </c:pt>
                <c:pt idx="66">
                  <c:v>1047.4892418453401</c:v>
                </c:pt>
                <c:pt idx="67">
                  <c:v>1046.3431568782926</c:v>
                </c:pt>
                <c:pt idx="68">
                  <c:v>1045.1970719112451</c:v>
                </c:pt>
                <c:pt idx="69">
                  <c:v>1044.0509869441976</c:v>
                </c:pt>
                <c:pt idx="70">
                  <c:v>1042.9049019771501</c:v>
                </c:pt>
                <c:pt idx="71">
                  <c:v>1041.7588170101026</c:v>
                </c:pt>
                <c:pt idx="72">
                  <c:v>1040.6127320430551</c:v>
                </c:pt>
                <c:pt idx="73">
                  <c:v>1039.4666470760076</c:v>
                </c:pt>
                <c:pt idx="74">
                  <c:v>1038.3205621089601</c:v>
                </c:pt>
                <c:pt idx="75">
                  <c:v>1037.1744771419126</c:v>
                </c:pt>
                <c:pt idx="76">
                  <c:v>1036.0283921748651</c:v>
                </c:pt>
                <c:pt idx="77">
                  <c:v>1034.8823072078176</c:v>
                </c:pt>
                <c:pt idx="78">
                  <c:v>1033.7362222407701</c:v>
                </c:pt>
                <c:pt idx="79">
                  <c:v>1032.2255247773769</c:v>
                </c:pt>
                <c:pt idx="80">
                  <c:v>1030.7148273139837</c:v>
                </c:pt>
                <c:pt idx="81">
                  <c:v>1029.2041298505906</c:v>
                </c:pt>
                <c:pt idx="82">
                  <c:v>1027.6934323871974</c:v>
                </c:pt>
                <c:pt idx="83">
                  <c:v>1026.1827349238042</c:v>
                </c:pt>
                <c:pt idx="84">
                  <c:v>1024.672037460411</c:v>
                </c:pt>
                <c:pt idx="85">
                  <c:v>1023.161339997018</c:v>
                </c:pt>
                <c:pt idx="86">
                  <c:v>1021.6506425336249</c:v>
                </c:pt>
                <c:pt idx="87">
                  <c:v>1020.1399450702319</c:v>
                </c:pt>
                <c:pt idx="88">
                  <c:v>1018.6292476068388</c:v>
                </c:pt>
                <c:pt idx="89">
                  <c:v>1017.1185501434458</c:v>
                </c:pt>
                <c:pt idx="90">
                  <c:v>1015.6078526800527</c:v>
                </c:pt>
                <c:pt idx="91">
                  <c:v>1014.0971552166596</c:v>
                </c:pt>
                <c:pt idx="92">
                  <c:v>1012.5864577532666</c:v>
                </c:pt>
                <c:pt idx="93">
                  <c:v>1011.0757602898735</c:v>
                </c:pt>
                <c:pt idx="94">
                  <c:v>1009.5650628264805</c:v>
                </c:pt>
                <c:pt idx="95">
                  <c:v>1008.0543653630874</c:v>
                </c:pt>
                <c:pt idx="96">
                  <c:v>1006.5436678996944</c:v>
                </c:pt>
                <c:pt idx="97">
                  <c:v>1005.0329704363013</c:v>
                </c:pt>
                <c:pt idx="98">
                  <c:v>1003.5222729729082</c:v>
                </c:pt>
                <c:pt idx="99">
                  <c:v>1002.0115755095152</c:v>
                </c:pt>
                <c:pt idx="100">
                  <c:v>1000.5008780461221</c:v>
                </c:pt>
                <c:pt idx="101">
                  <c:v>998.99018058272907</c:v>
                </c:pt>
                <c:pt idx="102">
                  <c:v>997.47948311933601</c:v>
                </c:pt>
                <c:pt idx="103">
                  <c:v>995.96878565594295</c:v>
                </c:pt>
                <c:pt idx="104">
                  <c:v>994.45808819254989</c:v>
                </c:pt>
                <c:pt idx="105">
                  <c:v>992.94739072915684</c:v>
                </c:pt>
                <c:pt idx="106">
                  <c:v>991.43669326576378</c:v>
                </c:pt>
                <c:pt idx="107">
                  <c:v>989.92599580237072</c:v>
                </c:pt>
                <c:pt idx="108">
                  <c:v>988.41529833897766</c:v>
                </c:pt>
                <c:pt idx="109">
                  <c:v>986.90460087558461</c:v>
                </c:pt>
                <c:pt idx="110">
                  <c:v>985.39390341219155</c:v>
                </c:pt>
                <c:pt idx="111">
                  <c:v>983.88320594879849</c:v>
                </c:pt>
                <c:pt idx="112">
                  <c:v>982.37250848540543</c:v>
                </c:pt>
                <c:pt idx="113">
                  <c:v>1183.4839999999999</c:v>
                </c:pt>
                <c:pt idx="114">
                  <c:v>1182.9413696699974</c:v>
                </c:pt>
                <c:pt idx="115">
                  <c:v>1182.3987393399948</c:v>
                </c:pt>
                <c:pt idx="116">
                  <c:v>1181.8561090099922</c:v>
                </c:pt>
                <c:pt idx="117">
                  <c:v>1181.3134786799897</c:v>
                </c:pt>
                <c:pt idx="118">
                  <c:v>1180.7708483499871</c:v>
                </c:pt>
                <c:pt idx="119">
                  <c:v>1180.2282180199845</c:v>
                </c:pt>
                <c:pt idx="120">
                  <c:v>1179.685587689982</c:v>
                </c:pt>
                <c:pt idx="121">
                  <c:v>1179.1429573599794</c:v>
                </c:pt>
                <c:pt idx="122">
                  <c:v>1178.6003270299768</c:v>
                </c:pt>
                <c:pt idx="123">
                  <c:v>1178.0576966999743</c:v>
                </c:pt>
                <c:pt idx="124">
                  <c:v>1177.5150663699717</c:v>
                </c:pt>
                <c:pt idx="125">
                  <c:v>1176.9724360399691</c:v>
                </c:pt>
                <c:pt idx="126">
                  <c:v>1176.4298057099666</c:v>
                </c:pt>
                <c:pt idx="127">
                  <c:v>1175.887175379964</c:v>
                </c:pt>
                <c:pt idx="128">
                  <c:v>1175.3445450499614</c:v>
                </c:pt>
                <c:pt idx="129">
                  <c:v>1174.8019147199589</c:v>
                </c:pt>
                <c:pt idx="130">
                  <c:v>1174.2592843899563</c:v>
                </c:pt>
                <c:pt idx="131">
                  <c:v>1173.7166540599537</c:v>
                </c:pt>
                <c:pt idx="132">
                  <c:v>1173.1740237299512</c:v>
                </c:pt>
                <c:pt idx="133">
                  <c:v>1172.6313933999486</c:v>
                </c:pt>
                <c:pt idx="134">
                  <c:v>1172.088763069946</c:v>
                </c:pt>
                <c:pt idx="135">
                  <c:v>1171.5461327399435</c:v>
                </c:pt>
                <c:pt idx="136">
                  <c:v>1171.0035024099409</c:v>
                </c:pt>
                <c:pt idx="137">
                  <c:v>1170.4608720799383</c:v>
                </c:pt>
                <c:pt idx="138">
                  <c:v>1169.9182417499358</c:v>
                </c:pt>
                <c:pt idx="139">
                  <c:v>1169.3756114199332</c:v>
                </c:pt>
                <c:pt idx="140">
                  <c:v>1168.8329810899306</c:v>
                </c:pt>
                <c:pt idx="141">
                  <c:v>1168.2903507599281</c:v>
                </c:pt>
                <c:pt idx="142">
                  <c:v>1167.7477204299255</c:v>
                </c:pt>
                <c:pt idx="143">
                  <c:v>1167.2050900999229</c:v>
                </c:pt>
                <c:pt idx="144">
                  <c:v>1166.6624597699204</c:v>
                </c:pt>
                <c:pt idx="145">
                  <c:v>1166.1198294399178</c:v>
                </c:pt>
                <c:pt idx="146">
                  <c:v>1165.5771991099152</c:v>
                </c:pt>
                <c:pt idx="147">
                  <c:v>1165.0345687799127</c:v>
                </c:pt>
                <c:pt idx="148">
                  <c:v>1164.4919384499101</c:v>
                </c:pt>
                <c:pt idx="149">
                  <c:v>1163.9493081199075</c:v>
                </c:pt>
                <c:pt idx="150">
                  <c:v>1163.406677789905</c:v>
                </c:pt>
                <c:pt idx="151">
                  <c:v>1162.8640474599024</c:v>
                </c:pt>
                <c:pt idx="152">
                  <c:v>1162.3214171298998</c:v>
                </c:pt>
                <c:pt idx="153">
                  <c:v>1161.7787867998973</c:v>
                </c:pt>
                <c:pt idx="154">
                  <c:v>1161.2361564698947</c:v>
                </c:pt>
                <c:pt idx="155">
                  <c:v>1160.6935261398921</c:v>
                </c:pt>
                <c:pt idx="156">
                  <c:v>1160.1508958098896</c:v>
                </c:pt>
                <c:pt idx="157">
                  <c:v>1159.608265479887</c:v>
                </c:pt>
                <c:pt idx="158">
                  <c:v>1159.0656351498844</c:v>
                </c:pt>
                <c:pt idx="159">
                  <c:v>1158.5230048198819</c:v>
                </c:pt>
                <c:pt idx="160">
                  <c:v>1157.9803744898793</c:v>
                </c:pt>
                <c:pt idx="161">
                  <c:v>1157.4377441598767</c:v>
                </c:pt>
                <c:pt idx="162">
                  <c:v>1156.8951138298742</c:v>
                </c:pt>
                <c:pt idx="163">
                  <c:v>1156.3524834998716</c:v>
                </c:pt>
                <c:pt idx="164">
                  <c:v>1155.809853169869</c:v>
                </c:pt>
                <c:pt idx="165">
                  <c:v>1155.2672228398665</c:v>
                </c:pt>
                <c:pt idx="166">
                  <c:v>1154.7245925098639</c:v>
                </c:pt>
                <c:pt idx="167">
                  <c:v>1153.2138950464707</c:v>
                </c:pt>
                <c:pt idx="168">
                  <c:v>1151.7031975830776</c:v>
                </c:pt>
                <c:pt idx="169">
                  <c:v>1150.1925001196844</c:v>
                </c:pt>
                <c:pt idx="170">
                  <c:v>1148.6818026562912</c:v>
                </c:pt>
                <c:pt idx="171">
                  <c:v>1147.171105192898</c:v>
                </c:pt>
                <c:pt idx="172">
                  <c:v>1145.6604077295049</c:v>
                </c:pt>
                <c:pt idx="173">
                  <c:v>1144.1497102661117</c:v>
                </c:pt>
                <c:pt idx="174">
                  <c:v>1142.6390128027185</c:v>
                </c:pt>
                <c:pt idx="175">
                  <c:v>1141.1283153393254</c:v>
                </c:pt>
                <c:pt idx="176">
                  <c:v>1139.6176178759322</c:v>
                </c:pt>
                <c:pt idx="177">
                  <c:v>1138.106920412539</c:v>
                </c:pt>
                <c:pt idx="178">
                  <c:v>1136.5962229491458</c:v>
                </c:pt>
                <c:pt idx="179">
                  <c:v>1135.0855254857527</c:v>
                </c:pt>
                <c:pt idx="180">
                  <c:v>1133.5748280223595</c:v>
                </c:pt>
                <c:pt idx="181">
                  <c:v>1132.0641305589663</c:v>
                </c:pt>
                <c:pt idx="182">
                  <c:v>1130.5534330955732</c:v>
                </c:pt>
                <c:pt idx="183">
                  <c:v>1129.04273563218</c:v>
                </c:pt>
                <c:pt idx="184">
                  <c:v>1127.5320381687868</c:v>
                </c:pt>
                <c:pt idx="185">
                  <c:v>1126.0213407053936</c:v>
                </c:pt>
                <c:pt idx="186">
                  <c:v>1124.5106432420005</c:v>
                </c:pt>
                <c:pt idx="187">
                  <c:v>1122.9999457786073</c:v>
                </c:pt>
                <c:pt idx="188">
                  <c:v>1121.4892483152141</c:v>
                </c:pt>
                <c:pt idx="189">
                  <c:v>1119.978550851821</c:v>
                </c:pt>
                <c:pt idx="190">
                  <c:v>1118.4678533884278</c:v>
                </c:pt>
                <c:pt idx="191">
                  <c:v>1116.9571559250346</c:v>
                </c:pt>
                <c:pt idx="192">
                  <c:v>1115.4464584616414</c:v>
                </c:pt>
                <c:pt idx="193">
                  <c:v>1113.9357609982483</c:v>
                </c:pt>
                <c:pt idx="194">
                  <c:v>1112.4250635348551</c:v>
                </c:pt>
                <c:pt idx="195">
                  <c:v>1110.9143660714619</c:v>
                </c:pt>
                <c:pt idx="196">
                  <c:v>1109.4036686080688</c:v>
                </c:pt>
                <c:pt idx="197">
                  <c:v>1107.8929711446756</c:v>
                </c:pt>
                <c:pt idx="198">
                  <c:v>1106.3822736812824</c:v>
                </c:pt>
                <c:pt idx="199">
                  <c:v>1104.8715762178892</c:v>
                </c:pt>
                <c:pt idx="200">
                  <c:v>1103.3608787544961</c:v>
                </c:pt>
                <c:pt idx="201">
                  <c:v>1101.8501812911029</c:v>
                </c:pt>
                <c:pt idx="202">
                  <c:v>1100.3394838277097</c:v>
                </c:pt>
                <c:pt idx="203">
                  <c:v>1098.8287863643166</c:v>
                </c:pt>
                <c:pt idx="204">
                  <c:v>1097.3180889009234</c:v>
                </c:pt>
                <c:pt idx="205">
                  <c:v>1095.8073914375302</c:v>
                </c:pt>
                <c:pt idx="206">
                  <c:v>1094.296693974137</c:v>
                </c:pt>
                <c:pt idx="207">
                  <c:v>1092.7859965107439</c:v>
                </c:pt>
                <c:pt idx="208">
                  <c:v>1091.2752990473507</c:v>
                </c:pt>
                <c:pt idx="209">
                  <c:v>1089.7646015839575</c:v>
                </c:pt>
                <c:pt idx="210">
                  <c:v>1088.2539041205644</c:v>
                </c:pt>
                <c:pt idx="211">
                  <c:v>1086.7432066571712</c:v>
                </c:pt>
                <c:pt idx="212">
                  <c:v>1085.232509193778</c:v>
                </c:pt>
                <c:pt idx="213">
                  <c:v>1083.7218117303848</c:v>
                </c:pt>
                <c:pt idx="214">
                  <c:v>1082.2111142669917</c:v>
                </c:pt>
                <c:pt idx="215">
                  <c:v>1080.7004168035985</c:v>
                </c:pt>
                <c:pt idx="216">
                  <c:v>1079.1897193402053</c:v>
                </c:pt>
                <c:pt idx="217">
                  <c:v>1077.6790218768122</c:v>
                </c:pt>
                <c:pt idx="218">
                  <c:v>1076.168324413419</c:v>
                </c:pt>
                <c:pt idx="219">
                  <c:v>1074.6576269500258</c:v>
                </c:pt>
                <c:pt idx="220">
                  <c:v>1073.1469294866326</c:v>
                </c:pt>
                <c:pt idx="221">
                  <c:v>1071.6362320232395</c:v>
                </c:pt>
                <c:pt idx="222">
                  <c:v>1070.1255345598463</c:v>
                </c:pt>
                <c:pt idx="223">
                  <c:v>1068.6148370964531</c:v>
                </c:pt>
                <c:pt idx="224">
                  <c:v>1067.10413963306</c:v>
                </c:pt>
                <c:pt idx="225">
                  <c:v>1065.5934421696668</c:v>
                </c:pt>
                <c:pt idx="226">
                  <c:v>1064.0827447062736</c:v>
                </c:pt>
                <c:pt idx="227">
                  <c:v>1062.5720472428804</c:v>
                </c:pt>
                <c:pt idx="228">
                  <c:v>1061.0613497794873</c:v>
                </c:pt>
                <c:pt idx="229">
                  <c:v>1059.5506523160941</c:v>
                </c:pt>
                <c:pt idx="230">
                  <c:v>1058.0399548527009</c:v>
                </c:pt>
                <c:pt idx="231">
                  <c:v>1056.5292573893078</c:v>
                </c:pt>
                <c:pt idx="232">
                  <c:v>1055.0185599259146</c:v>
                </c:pt>
                <c:pt idx="233">
                  <c:v>1053.5078624625214</c:v>
                </c:pt>
                <c:pt idx="234">
                  <c:v>1051.9971649991282</c:v>
                </c:pt>
                <c:pt idx="235">
                  <c:v>1050.4864675357351</c:v>
                </c:pt>
                <c:pt idx="236">
                  <c:v>1048.9757700723419</c:v>
                </c:pt>
                <c:pt idx="237">
                  <c:v>1047.4650726089487</c:v>
                </c:pt>
                <c:pt idx="238">
                  <c:v>1043.6240964048457</c:v>
                </c:pt>
                <c:pt idx="239">
                  <c:v>1039.7831202007426</c:v>
                </c:pt>
                <c:pt idx="240">
                  <c:v>1035.9421439966395</c:v>
                </c:pt>
                <c:pt idx="241">
                  <c:v>1032.1011677925364</c:v>
                </c:pt>
                <c:pt idx="242">
                  <c:v>1028.2601915884334</c:v>
                </c:pt>
                <c:pt idx="243">
                  <c:v>1024.4192153843303</c:v>
                </c:pt>
                <c:pt idx="244">
                  <c:v>1020.5782391802273</c:v>
                </c:pt>
                <c:pt idx="245">
                  <c:v>1016.7372629761244</c:v>
                </c:pt>
                <c:pt idx="246">
                  <c:v>1012.8962867720214</c:v>
                </c:pt>
                <c:pt idx="247">
                  <c:v>1009.0553105679185</c:v>
                </c:pt>
                <c:pt idx="248">
                  <c:v>1005.2143343638155</c:v>
                </c:pt>
                <c:pt idx="249">
                  <c:v>929.62900000000002</c:v>
                </c:pt>
              </c:numCache>
            </c:numRef>
          </c:yVal>
        </c:ser>
        <c:ser>
          <c:idx val="3"/>
          <c:order val="3"/>
          <c:tx>
            <c:v>Hydraulic Grade Line Old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Hydraulics!$AL$4:$AL$253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1077.6795790091687</c:v>
                </c:pt>
                <c:pt idx="2">
                  <c:v>1076.3411580183374</c:v>
                </c:pt>
                <c:pt idx="3">
                  <c:v>1125.0027370275061</c:v>
                </c:pt>
                <c:pt idx="4">
                  <c:v>1123.6643160366748</c:v>
                </c:pt>
                <c:pt idx="5">
                  <c:v>1122.3258950458435</c:v>
                </c:pt>
                <c:pt idx="6">
                  <c:v>1120.9874740550122</c:v>
                </c:pt>
                <c:pt idx="7">
                  <c:v>1119.6490530641809</c:v>
                </c:pt>
                <c:pt idx="8">
                  <c:v>1118.3106320733496</c:v>
                </c:pt>
                <c:pt idx="9">
                  <c:v>1116.9722110825182</c:v>
                </c:pt>
                <c:pt idx="10">
                  <c:v>1111.67</c:v>
                </c:pt>
                <c:pt idx="11">
                  <c:v>1110.3315790091688</c:v>
                </c:pt>
                <c:pt idx="12">
                  <c:v>1108.9931580183375</c:v>
                </c:pt>
                <c:pt idx="13">
                  <c:v>1107.6547370275061</c:v>
                </c:pt>
                <c:pt idx="14">
                  <c:v>1106.3163160366748</c:v>
                </c:pt>
                <c:pt idx="15">
                  <c:v>1104.9778950458435</c:v>
                </c:pt>
                <c:pt idx="16">
                  <c:v>1103.6394740550122</c:v>
                </c:pt>
                <c:pt idx="17">
                  <c:v>1102.3010530641809</c:v>
                </c:pt>
                <c:pt idx="18">
                  <c:v>1100.9626320733496</c:v>
                </c:pt>
                <c:pt idx="19">
                  <c:v>1099.6242110825183</c:v>
                </c:pt>
                <c:pt idx="20">
                  <c:v>1098.285790091687</c:v>
                </c:pt>
                <c:pt idx="21">
                  <c:v>1096.9473691008557</c:v>
                </c:pt>
                <c:pt idx="22">
                  <c:v>1095.6089481100244</c:v>
                </c:pt>
                <c:pt idx="23">
                  <c:v>1094.270527119193</c:v>
                </c:pt>
                <c:pt idx="24">
                  <c:v>1092.9321061283617</c:v>
                </c:pt>
                <c:pt idx="25">
                  <c:v>1091.5936851375304</c:v>
                </c:pt>
                <c:pt idx="26">
                  <c:v>1090.2552641466991</c:v>
                </c:pt>
                <c:pt idx="27">
                  <c:v>1088.9168431558678</c:v>
                </c:pt>
                <c:pt idx="28">
                  <c:v>1087.5784221650365</c:v>
                </c:pt>
                <c:pt idx="29">
                  <c:v>1086.2400011742052</c:v>
                </c:pt>
                <c:pt idx="30">
                  <c:v>1084.9015801833739</c:v>
                </c:pt>
                <c:pt idx="31">
                  <c:v>1083.5631591925426</c:v>
                </c:pt>
                <c:pt idx="32">
                  <c:v>1082.2247382017113</c:v>
                </c:pt>
                <c:pt idx="33">
                  <c:v>1080.88631721088</c:v>
                </c:pt>
                <c:pt idx="34">
                  <c:v>1079.5478962200486</c:v>
                </c:pt>
                <c:pt idx="35">
                  <c:v>1078.2094752292173</c:v>
                </c:pt>
                <c:pt idx="36">
                  <c:v>1076.871054238386</c:v>
                </c:pt>
                <c:pt idx="37">
                  <c:v>1075.5326332475547</c:v>
                </c:pt>
                <c:pt idx="38">
                  <c:v>1074.1942122567234</c:v>
                </c:pt>
                <c:pt idx="39">
                  <c:v>1072.8557912658921</c:v>
                </c:pt>
                <c:pt idx="40">
                  <c:v>1071.5173702750608</c:v>
                </c:pt>
                <c:pt idx="41">
                  <c:v>1070.1789492842295</c:v>
                </c:pt>
                <c:pt idx="42">
                  <c:v>1068.8405282933982</c:v>
                </c:pt>
                <c:pt idx="43">
                  <c:v>1067.5021073025669</c:v>
                </c:pt>
                <c:pt idx="44">
                  <c:v>1066.1636863117355</c:v>
                </c:pt>
                <c:pt idx="45">
                  <c:v>1064.8252653209042</c:v>
                </c:pt>
                <c:pt idx="46">
                  <c:v>1063.4868443300729</c:v>
                </c:pt>
                <c:pt idx="47">
                  <c:v>1062.1484233392416</c:v>
                </c:pt>
                <c:pt idx="48">
                  <c:v>1060.8100023484103</c:v>
                </c:pt>
                <c:pt idx="49">
                  <c:v>1059.471581357579</c:v>
                </c:pt>
                <c:pt idx="50">
                  <c:v>1058.1331603667477</c:v>
                </c:pt>
                <c:pt idx="51">
                  <c:v>1056.7947393759164</c:v>
                </c:pt>
                <c:pt idx="52">
                  <c:v>1055.4563183850851</c:v>
                </c:pt>
                <c:pt idx="53">
                  <c:v>1054.1178973942538</c:v>
                </c:pt>
                <c:pt idx="54">
                  <c:v>1052.7794764034224</c:v>
                </c:pt>
                <c:pt idx="55">
                  <c:v>1051.4410554125911</c:v>
                </c:pt>
                <c:pt idx="56">
                  <c:v>1050.1026344217598</c:v>
                </c:pt>
                <c:pt idx="57">
                  <c:v>1048.7642134309285</c:v>
                </c:pt>
                <c:pt idx="58">
                  <c:v>1047.4257924400972</c:v>
                </c:pt>
                <c:pt idx="59">
                  <c:v>1046.0873714492659</c:v>
                </c:pt>
                <c:pt idx="60">
                  <c:v>1044.7489504584346</c:v>
                </c:pt>
                <c:pt idx="61">
                  <c:v>1043.4105294676033</c:v>
                </c:pt>
                <c:pt idx="62">
                  <c:v>1042.072108476772</c:v>
                </c:pt>
                <c:pt idx="63">
                  <c:v>1040.7336874859407</c:v>
                </c:pt>
                <c:pt idx="64">
                  <c:v>1039.3952664951094</c:v>
                </c:pt>
                <c:pt idx="65">
                  <c:v>1038.056845504278</c:v>
                </c:pt>
                <c:pt idx="66">
                  <c:v>1036.7184245134467</c:v>
                </c:pt>
                <c:pt idx="67">
                  <c:v>1035.3800035226154</c:v>
                </c:pt>
                <c:pt idx="68">
                  <c:v>1034.0415825317841</c:v>
                </c:pt>
                <c:pt idx="69">
                  <c:v>1032.7031615409528</c:v>
                </c:pt>
                <c:pt idx="70">
                  <c:v>1031.3647405501215</c:v>
                </c:pt>
                <c:pt idx="71">
                  <c:v>1030.0263195592902</c:v>
                </c:pt>
                <c:pt idx="72">
                  <c:v>1028.6878985684589</c:v>
                </c:pt>
                <c:pt idx="73">
                  <c:v>1027.3494775776276</c:v>
                </c:pt>
                <c:pt idx="74">
                  <c:v>1026.0110565867963</c:v>
                </c:pt>
                <c:pt idx="75">
                  <c:v>1024.6726355959649</c:v>
                </c:pt>
                <c:pt idx="76">
                  <c:v>1023.3342146051338</c:v>
                </c:pt>
                <c:pt idx="77">
                  <c:v>1021.9957936143026</c:v>
                </c:pt>
                <c:pt idx="78">
                  <c:v>1020.6573726234714</c:v>
                </c:pt>
                <c:pt idx="79">
                  <c:v>1018.890947569638</c:v>
                </c:pt>
                <c:pt idx="80">
                  <c:v>1017.1245225158046</c:v>
                </c:pt>
                <c:pt idx="81">
                  <c:v>1015.3580974619713</c:v>
                </c:pt>
                <c:pt idx="82">
                  <c:v>1013.5916724081379</c:v>
                </c:pt>
                <c:pt idx="83">
                  <c:v>1011.8252473543046</c:v>
                </c:pt>
                <c:pt idx="84">
                  <c:v>1010.0588223004712</c:v>
                </c:pt>
                <c:pt idx="85">
                  <c:v>1008.2923972466378</c:v>
                </c:pt>
                <c:pt idx="86">
                  <c:v>1006.5259721928045</c:v>
                </c:pt>
                <c:pt idx="87">
                  <c:v>1004.7595471389711</c:v>
                </c:pt>
                <c:pt idx="88">
                  <c:v>1002.9931220851378</c:v>
                </c:pt>
                <c:pt idx="89">
                  <c:v>1001.2266970313044</c:v>
                </c:pt>
                <c:pt idx="90">
                  <c:v>999.46027197747105</c:v>
                </c:pt>
                <c:pt idx="91">
                  <c:v>997.69384692363769</c:v>
                </c:pt>
                <c:pt idx="92">
                  <c:v>995.92742186980433</c:v>
                </c:pt>
                <c:pt idx="93">
                  <c:v>994.16099681597098</c:v>
                </c:pt>
                <c:pt idx="94">
                  <c:v>992.39457176213762</c:v>
                </c:pt>
                <c:pt idx="95">
                  <c:v>990.62814670830426</c:v>
                </c:pt>
                <c:pt idx="96">
                  <c:v>988.8617216544709</c:v>
                </c:pt>
                <c:pt idx="97">
                  <c:v>987.09529660063754</c:v>
                </c:pt>
                <c:pt idx="98">
                  <c:v>985.32887154680418</c:v>
                </c:pt>
                <c:pt idx="99">
                  <c:v>983.56244649297082</c:v>
                </c:pt>
                <c:pt idx="100">
                  <c:v>981.79602143913746</c:v>
                </c:pt>
                <c:pt idx="101">
                  <c:v>980.0295963853041</c:v>
                </c:pt>
                <c:pt idx="102">
                  <c:v>978.26317133147074</c:v>
                </c:pt>
                <c:pt idx="103">
                  <c:v>976.49674627763738</c:v>
                </c:pt>
                <c:pt idx="104">
                  <c:v>974.73032122380403</c:v>
                </c:pt>
                <c:pt idx="105">
                  <c:v>972.96389616997067</c:v>
                </c:pt>
                <c:pt idx="106">
                  <c:v>971.19747111613731</c:v>
                </c:pt>
                <c:pt idx="107">
                  <c:v>969.43104606230395</c:v>
                </c:pt>
                <c:pt idx="108">
                  <c:v>967.66462100847059</c:v>
                </c:pt>
                <c:pt idx="109">
                  <c:v>965.89819595463723</c:v>
                </c:pt>
                <c:pt idx="110">
                  <c:v>964.13177090080387</c:v>
                </c:pt>
                <c:pt idx="111">
                  <c:v>962.36534584697051</c:v>
                </c:pt>
                <c:pt idx="112">
                  <c:v>960.59892079313715</c:v>
                </c:pt>
                <c:pt idx="113">
                  <c:v>1183.4839999999999</c:v>
                </c:pt>
                <c:pt idx="114">
                  <c:v>1182.8524998601711</c:v>
                </c:pt>
                <c:pt idx="115">
                  <c:v>1182.2209997203422</c:v>
                </c:pt>
                <c:pt idx="116">
                  <c:v>1181.5894995805133</c:v>
                </c:pt>
                <c:pt idx="117">
                  <c:v>1180.9579994406845</c:v>
                </c:pt>
                <c:pt idx="118">
                  <c:v>1180.3264993008556</c:v>
                </c:pt>
                <c:pt idx="119">
                  <c:v>1179.6949991610268</c:v>
                </c:pt>
                <c:pt idx="120">
                  <c:v>1179.0634990211979</c:v>
                </c:pt>
                <c:pt idx="121">
                  <c:v>1178.4319988813691</c:v>
                </c:pt>
                <c:pt idx="122">
                  <c:v>1177.8004987415402</c:v>
                </c:pt>
                <c:pt idx="123">
                  <c:v>1177.1689986017113</c:v>
                </c:pt>
                <c:pt idx="124">
                  <c:v>1176.5374984618825</c:v>
                </c:pt>
                <c:pt idx="125">
                  <c:v>1175.9059983220536</c:v>
                </c:pt>
                <c:pt idx="126">
                  <c:v>1175.2744981822248</c:v>
                </c:pt>
                <c:pt idx="127">
                  <c:v>1174.6429980423959</c:v>
                </c:pt>
                <c:pt idx="128">
                  <c:v>1174.011497902567</c:v>
                </c:pt>
                <c:pt idx="129">
                  <c:v>1173.3799977627382</c:v>
                </c:pt>
                <c:pt idx="130">
                  <c:v>1172.7484976229093</c:v>
                </c:pt>
                <c:pt idx="131">
                  <c:v>1172.1169974830805</c:v>
                </c:pt>
                <c:pt idx="132">
                  <c:v>1171.4854973432516</c:v>
                </c:pt>
                <c:pt idx="133">
                  <c:v>1170.8539972034228</c:v>
                </c:pt>
                <c:pt idx="134">
                  <c:v>1170.2224970635939</c:v>
                </c:pt>
                <c:pt idx="135">
                  <c:v>1169.590996923765</c:v>
                </c:pt>
                <c:pt idx="136">
                  <c:v>1168.9594967839362</c:v>
                </c:pt>
                <c:pt idx="137">
                  <c:v>1168.3279966441073</c:v>
                </c:pt>
                <c:pt idx="138">
                  <c:v>1167.6964965042785</c:v>
                </c:pt>
                <c:pt idx="139">
                  <c:v>1167.0649963644496</c:v>
                </c:pt>
                <c:pt idx="140">
                  <c:v>1166.4334962246207</c:v>
                </c:pt>
                <c:pt idx="141">
                  <c:v>1165.8019960847919</c:v>
                </c:pt>
                <c:pt idx="142">
                  <c:v>1165.170495944963</c:v>
                </c:pt>
                <c:pt idx="143">
                  <c:v>1164.5389958051342</c:v>
                </c:pt>
                <c:pt idx="144">
                  <c:v>1163.9074956653053</c:v>
                </c:pt>
                <c:pt idx="145">
                  <c:v>1163.2759955254764</c:v>
                </c:pt>
                <c:pt idx="146">
                  <c:v>1162.6444953856476</c:v>
                </c:pt>
                <c:pt idx="147">
                  <c:v>1162.0129952458187</c:v>
                </c:pt>
                <c:pt idx="148">
                  <c:v>1161.3814951059899</c:v>
                </c:pt>
                <c:pt idx="149">
                  <c:v>1160.749994966161</c:v>
                </c:pt>
                <c:pt idx="150">
                  <c:v>1160.1184948263322</c:v>
                </c:pt>
                <c:pt idx="151">
                  <c:v>1159.4869946865033</c:v>
                </c:pt>
                <c:pt idx="152">
                  <c:v>1158.8554945466744</c:v>
                </c:pt>
                <c:pt idx="153">
                  <c:v>1158.2239944068456</c:v>
                </c:pt>
                <c:pt idx="154">
                  <c:v>1157.5924942670167</c:v>
                </c:pt>
                <c:pt idx="155">
                  <c:v>1156.9609941271879</c:v>
                </c:pt>
                <c:pt idx="156">
                  <c:v>1156.329493987359</c:v>
                </c:pt>
                <c:pt idx="157">
                  <c:v>1155.6979938475301</c:v>
                </c:pt>
                <c:pt idx="158">
                  <c:v>1155.0664937077013</c:v>
                </c:pt>
                <c:pt idx="159">
                  <c:v>1154.4349935678724</c:v>
                </c:pt>
                <c:pt idx="160">
                  <c:v>1153.8034934280436</c:v>
                </c:pt>
                <c:pt idx="161">
                  <c:v>1153.1719932882147</c:v>
                </c:pt>
                <c:pt idx="162">
                  <c:v>1152.5404931483858</c:v>
                </c:pt>
                <c:pt idx="163">
                  <c:v>1151.908993008557</c:v>
                </c:pt>
                <c:pt idx="164">
                  <c:v>1151.2774928687281</c:v>
                </c:pt>
                <c:pt idx="165">
                  <c:v>1150.6459927288993</c:v>
                </c:pt>
                <c:pt idx="166">
                  <c:v>1150.0144925890704</c:v>
                </c:pt>
                <c:pt idx="167">
                  <c:v>1148.2480675352372</c:v>
                </c:pt>
                <c:pt idx="168">
                  <c:v>1146.4816424814039</c:v>
                </c:pt>
                <c:pt idx="169">
                  <c:v>1144.7152174275707</c:v>
                </c:pt>
                <c:pt idx="170">
                  <c:v>1142.9487923737374</c:v>
                </c:pt>
                <c:pt idx="171">
                  <c:v>1141.1823673199042</c:v>
                </c:pt>
                <c:pt idx="172">
                  <c:v>1139.4159422660709</c:v>
                </c:pt>
                <c:pt idx="173">
                  <c:v>1137.6495172122377</c:v>
                </c:pt>
                <c:pt idx="174">
                  <c:v>1135.8830921584045</c:v>
                </c:pt>
                <c:pt idx="175">
                  <c:v>1134.1166671045712</c:v>
                </c:pt>
                <c:pt idx="176">
                  <c:v>1132.350242050738</c:v>
                </c:pt>
                <c:pt idx="177">
                  <c:v>1130.5838169969047</c:v>
                </c:pt>
                <c:pt idx="178">
                  <c:v>1128.8173919430715</c:v>
                </c:pt>
                <c:pt idx="179">
                  <c:v>1127.0509668892382</c:v>
                </c:pt>
                <c:pt idx="180">
                  <c:v>1125.284541835405</c:v>
                </c:pt>
                <c:pt idx="181">
                  <c:v>1123.5181167815717</c:v>
                </c:pt>
                <c:pt idx="182">
                  <c:v>1121.7516917277385</c:v>
                </c:pt>
                <c:pt idx="183">
                  <c:v>1119.9852666739052</c:v>
                </c:pt>
                <c:pt idx="184">
                  <c:v>1118.218841620072</c:v>
                </c:pt>
                <c:pt idx="185">
                  <c:v>1116.4524165662388</c:v>
                </c:pt>
                <c:pt idx="186">
                  <c:v>1114.6859915124055</c:v>
                </c:pt>
                <c:pt idx="187">
                  <c:v>1112.9195664585723</c:v>
                </c:pt>
                <c:pt idx="188">
                  <c:v>1111.153141404739</c:v>
                </c:pt>
                <c:pt idx="189">
                  <c:v>1109.3867163509058</c:v>
                </c:pt>
                <c:pt idx="190">
                  <c:v>1107.6202912970725</c:v>
                </c:pt>
                <c:pt idx="191">
                  <c:v>1105.8538662432393</c:v>
                </c:pt>
                <c:pt idx="192">
                  <c:v>1104.087441189406</c:v>
                </c:pt>
                <c:pt idx="193">
                  <c:v>1102.3210161355728</c:v>
                </c:pt>
                <c:pt idx="194">
                  <c:v>1100.5545910817395</c:v>
                </c:pt>
                <c:pt idx="195">
                  <c:v>1098.7881660279063</c:v>
                </c:pt>
                <c:pt idx="196">
                  <c:v>1097.0217409740731</c:v>
                </c:pt>
                <c:pt idx="197">
                  <c:v>1095.2553159202398</c:v>
                </c:pt>
                <c:pt idx="198">
                  <c:v>1093.4888908664066</c:v>
                </c:pt>
                <c:pt idx="199">
                  <c:v>1091.7224658125733</c:v>
                </c:pt>
                <c:pt idx="200">
                  <c:v>1089.9560407587401</c:v>
                </c:pt>
                <c:pt idx="201">
                  <c:v>1088.1896157049068</c:v>
                </c:pt>
                <c:pt idx="202">
                  <c:v>1086.4231906510736</c:v>
                </c:pt>
                <c:pt idx="203">
                  <c:v>1084.6567655972403</c:v>
                </c:pt>
                <c:pt idx="204">
                  <c:v>1082.8903405434071</c:v>
                </c:pt>
                <c:pt idx="205">
                  <c:v>1081.1239154895738</c:v>
                </c:pt>
                <c:pt idx="206">
                  <c:v>1079.3574904357406</c:v>
                </c:pt>
                <c:pt idx="207">
                  <c:v>1077.5910653819074</c:v>
                </c:pt>
                <c:pt idx="208">
                  <c:v>1075.8246403280741</c:v>
                </c:pt>
                <c:pt idx="209">
                  <c:v>1074.0582152742409</c:v>
                </c:pt>
                <c:pt idx="210">
                  <c:v>1072.2917902204076</c:v>
                </c:pt>
                <c:pt idx="211">
                  <c:v>1070.5253651665744</c:v>
                </c:pt>
                <c:pt idx="212">
                  <c:v>1068.7589401127411</c:v>
                </c:pt>
                <c:pt idx="213">
                  <c:v>1066.9925150589079</c:v>
                </c:pt>
                <c:pt idx="214">
                  <c:v>1065.2260900050746</c:v>
                </c:pt>
                <c:pt idx="215">
                  <c:v>1063.4596649512414</c:v>
                </c:pt>
                <c:pt idx="216">
                  <c:v>1061.6932398974081</c:v>
                </c:pt>
                <c:pt idx="217">
                  <c:v>1059.9268148435749</c:v>
                </c:pt>
                <c:pt idx="218">
                  <c:v>1058.1603897897417</c:v>
                </c:pt>
                <c:pt idx="219">
                  <c:v>1056.3939647359084</c:v>
                </c:pt>
                <c:pt idx="220">
                  <c:v>1054.6275396820752</c:v>
                </c:pt>
                <c:pt idx="221">
                  <c:v>1052.8611146282419</c:v>
                </c:pt>
                <c:pt idx="222">
                  <c:v>1051.0946895744087</c:v>
                </c:pt>
                <c:pt idx="223">
                  <c:v>1049.3282645205754</c:v>
                </c:pt>
                <c:pt idx="224">
                  <c:v>1047.5618394667422</c:v>
                </c:pt>
                <c:pt idx="225">
                  <c:v>1045.7954144129089</c:v>
                </c:pt>
                <c:pt idx="226">
                  <c:v>1044.0289893590757</c:v>
                </c:pt>
                <c:pt idx="227">
                  <c:v>1042.2625643052424</c:v>
                </c:pt>
                <c:pt idx="228">
                  <c:v>1040.4961392514092</c:v>
                </c:pt>
                <c:pt idx="229">
                  <c:v>1038.729714197576</c:v>
                </c:pt>
                <c:pt idx="230">
                  <c:v>1036.9632891437427</c:v>
                </c:pt>
                <c:pt idx="231">
                  <c:v>1035.1968640899095</c:v>
                </c:pt>
                <c:pt idx="232">
                  <c:v>1033.4304390360762</c:v>
                </c:pt>
                <c:pt idx="233">
                  <c:v>1031.664013982243</c:v>
                </c:pt>
                <c:pt idx="234">
                  <c:v>1029.8975889284097</c:v>
                </c:pt>
                <c:pt idx="235">
                  <c:v>1028.1311638745765</c:v>
                </c:pt>
                <c:pt idx="236">
                  <c:v>1026.3647388207432</c:v>
                </c:pt>
                <c:pt idx="237">
                  <c:v>1024.59831376691</c:v>
                </c:pt>
                <c:pt idx="238">
                  <c:v>1020.0886924489181</c:v>
                </c:pt>
                <c:pt idx="239">
                  <c:v>1015.5790711309262</c:v>
                </c:pt>
                <c:pt idx="240">
                  <c:v>1011.0694498129343</c:v>
                </c:pt>
                <c:pt idx="241">
                  <c:v>1006.5598284949424</c:v>
                </c:pt>
                <c:pt idx="242">
                  <c:v>1002.0502071769505</c:v>
                </c:pt>
                <c:pt idx="243">
                  <c:v>997.54058585895859</c:v>
                </c:pt>
                <c:pt idx="244">
                  <c:v>993.03096454096669</c:v>
                </c:pt>
                <c:pt idx="245">
                  <c:v>988.52134322297479</c:v>
                </c:pt>
                <c:pt idx="246">
                  <c:v>984.01172190498289</c:v>
                </c:pt>
                <c:pt idx="247">
                  <c:v>979.50210058699099</c:v>
                </c:pt>
                <c:pt idx="248">
                  <c:v>974.99247926899909</c:v>
                </c:pt>
                <c:pt idx="249">
                  <c:v>929.62900000000002</c:v>
                </c:pt>
              </c:numCache>
            </c:numRef>
          </c:yVal>
        </c:ser>
        <c:ser>
          <c:idx val="4"/>
          <c:order val="4"/>
          <c:tx>
            <c:v>Hydraulic Grade Line Biofilmed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Hydraulics!$AS$4:$AS$253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1077.3296049700054</c:v>
                </c:pt>
                <c:pt idx="2">
                  <c:v>1075.6412099400109</c:v>
                </c:pt>
                <c:pt idx="3">
                  <c:v>1123.9528149100163</c:v>
                </c:pt>
                <c:pt idx="4">
                  <c:v>1122.2644198800217</c:v>
                </c:pt>
                <c:pt idx="5">
                  <c:v>1120.5760248500271</c:v>
                </c:pt>
                <c:pt idx="6">
                  <c:v>1118.8876298200325</c:v>
                </c:pt>
                <c:pt idx="7">
                  <c:v>1117.199234790038</c:v>
                </c:pt>
                <c:pt idx="8">
                  <c:v>1115.5108397600434</c:v>
                </c:pt>
                <c:pt idx="9">
                  <c:v>1113.8224447300488</c:v>
                </c:pt>
                <c:pt idx="10">
                  <c:v>1111.67</c:v>
                </c:pt>
                <c:pt idx="11">
                  <c:v>1109.9816049700055</c:v>
                </c:pt>
                <c:pt idx="12">
                  <c:v>1108.2932099400109</c:v>
                </c:pt>
                <c:pt idx="13">
                  <c:v>1106.6048149100163</c:v>
                </c:pt>
                <c:pt idx="14">
                  <c:v>1104.9164198800217</c:v>
                </c:pt>
                <c:pt idx="15">
                  <c:v>1103.2280248500272</c:v>
                </c:pt>
                <c:pt idx="16">
                  <c:v>1101.5396298200326</c:v>
                </c:pt>
                <c:pt idx="17">
                  <c:v>1099.851234790038</c:v>
                </c:pt>
                <c:pt idx="18">
                  <c:v>1098.1628397600434</c:v>
                </c:pt>
                <c:pt idx="19">
                  <c:v>1096.4744447300488</c:v>
                </c:pt>
                <c:pt idx="20">
                  <c:v>1094.7860497000543</c:v>
                </c:pt>
                <c:pt idx="21">
                  <c:v>1093.0976546700597</c:v>
                </c:pt>
                <c:pt idx="22">
                  <c:v>1091.4092596400651</c:v>
                </c:pt>
                <c:pt idx="23">
                  <c:v>1089.7208646100705</c:v>
                </c:pt>
                <c:pt idx="24">
                  <c:v>1088.0324695800759</c:v>
                </c:pt>
                <c:pt idx="25">
                  <c:v>1086.3440745500814</c:v>
                </c:pt>
                <c:pt idx="26">
                  <c:v>1084.6556795200868</c:v>
                </c:pt>
                <c:pt idx="27">
                  <c:v>1082.9672844900922</c:v>
                </c:pt>
                <c:pt idx="28">
                  <c:v>1081.2788894600976</c:v>
                </c:pt>
                <c:pt idx="29">
                  <c:v>1079.590494430103</c:v>
                </c:pt>
                <c:pt idx="30">
                  <c:v>1077.9020994001085</c:v>
                </c:pt>
                <c:pt idx="31">
                  <c:v>1076.2137043701139</c:v>
                </c:pt>
                <c:pt idx="32">
                  <c:v>1074.5253093401193</c:v>
                </c:pt>
                <c:pt idx="33">
                  <c:v>1072.8369143101247</c:v>
                </c:pt>
                <c:pt idx="34">
                  <c:v>1071.1485192801301</c:v>
                </c:pt>
                <c:pt idx="35">
                  <c:v>1069.4601242501356</c:v>
                </c:pt>
                <c:pt idx="36">
                  <c:v>1067.771729220141</c:v>
                </c:pt>
                <c:pt idx="37">
                  <c:v>1066.0833341901464</c:v>
                </c:pt>
                <c:pt idx="38">
                  <c:v>1064.3949391601518</c:v>
                </c:pt>
                <c:pt idx="39">
                  <c:v>1062.7065441301572</c:v>
                </c:pt>
                <c:pt idx="40">
                  <c:v>1061.0181491001626</c:v>
                </c:pt>
                <c:pt idx="41">
                  <c:v>1059.3297540701681</c:v>
                </c:pt>
                <c:pt idx="42">
                  <c:v>1057.6413590401735</c:v>
                </c:pt>
                <c:pt idx="43">
                  <c:v>1055.9529640101789</c:v>
                </c:pt>
                <c:pt idx="44">
                  <c:v>1054.2645689801843</c:v>
                </c:pt>
                <c:pt idx="45">
                  <c:v>1052.5761739501897</c:v>
                </c:pt>
                <c:pt idx="46">
                  <c:v>1050.8877789201952</c:v>
                </c:pt>
                <c:pt idx="47">
                  <c:v>1049.1993838902006</c:v>
                </c:pt>
                <c:pt idx="48">
                  <c:v>1047.510988860206</c:v>
                </c:pt>
                <c:pt idx="49">
                  <c:v>1045.8225938302114</c:v>
                </c:pt>
                <c:pt idx="50">
                  <c:v>1044.1341988002168</c:v>
                </c:pt>
                <c:pt idx="51">
                  <c:v>1042.4458037702223</c:v>
                </c:pt>
                <c:pt idx="52">
                  <c:v>1040.7574087402277</c:v>
                </c:pt>
                <c:pt idx="53">
                  <c:v>1039.0690137102331</c:v>
                </c:pt>
                <c:pt idx="54">
                  <c:v>1037.3806186802385</c:v>
                </c:pt>
                <c:pt idx="55">
                  <c:v>1035.6922236502439</c:v>
                </c:pt>
                <c:pt idx="56">
                  <c:v>1034.0038286202494</c:v>
                </c:pt>
                <c:pt idx="57">
                  <c:v>1032.3154335902548</c:v>
                </c:pt>
                <c:pt idx="58">
                  <c:v>1030.6270385602602</c:v>
                </c:pt>
                <c:pt idx="59">
                  <c:v>1028.9386435302656</c:v>
                </c:pt>
                <c:pt idx="60">
                  <c:v>1027.250248500271</c:v>
                </c:pt>
                <c:pt idx="61">
                  <c:v>1025.5618534702764</c:v>
                </c:pt>
                <c:pt idx="62">
                  <c:v>1023.873458440282</c:v>
                </c:pt>
                <c:pt idx="63">
                  <c:v>1022.1850634102875</c:v>
                </c:pt>
                <c:pt idx="64">
                  <c:v>1020.496668380293</c:v>
                </c:pt>
                <c:pt idx="65">
                  <c:v>1018.8082733502986</c:v>
                </c:pt>
                <c:pt idx="66">
                  <c:v>1017.1198783203041</c:v>
                </c:pt>
                <c:pt idx="67">
                  <c:v>1015.4314832903096</c:v>
                </c:pt>
                <c:pt idx="68">
                  <c:v>1013.7430882603152</c:v>
                </c:pt>
                <c:pt idx="69">
                  <c:v>1012.0546932303207</c:v>
                </c:pt>
                <c:pt idx="70">
                  <c:v>1010.3662982003262</c:v>
                </c:pt>
                <c:pt idx="71">
                  <c:v>1008.6779031703318</c:v>
                </c:pt>
                <c:pt idx="72">
                  <c:v>1006.9895081403373</c:v>
                </c:pt>
                <c:pt idx="73">
                  <c:v>1005.3011131103428</c:v>
                </c:pt>
                <c:pt idx="74">
                  <c:v>1003.6127180803484</c:v>
                </c:pt>
                <c:pt idx="75">
                  <c:v>1001.9243230503539</c:v>
                </c:pt>
                <c:pt idx="76">
                  <c:v>1000.2359280203594</c:v>
                </c:pt>
                <c:pt idx="77">
                  <c:v>998.54753299036497</c:v>
                </c:pt>
                <c:pt idx="78">
                  <c:v>996.8591379603705</c:v>
                </c:pt>
                <c:pt idx="79">
                  <c:v>994.62609324962057</c:v>
                </c:pt>
                <c:pt idx="80">
                  <c:v>992.39304853887063</c:v>
                </c:pt>
                <c:pt idx="81">
                  <c:v>990.16000382812069</c:v>
                </c:pt>
                <c:pt idx="82">
                  <c:v>987.92695911737076</c:v>
                </c:pt>
                <c:pt idx="83">
                  <c:v>985.69391440662082</c:v>
                </c:pt>
                <c:pt idx="84">
                  <c:v>983.46086969587088</c:v>
                </c:pt>
                <c:pt idx="85">
                  <c:v>981.22782498512095</c:v>
                </c:pt>
                <c:pt idx="86">
                  <c:v>978.99478027437101</c:v>
                </c:pt>
                <c:pt idx="87">
                  <c:v>976.76173556362107</c:v>
                </c:pt>
                <c:pt idx="88">
                  <c:v>974.52869085287114</c:v>
                </c:pt>
                <c:pt idx="89">
                  <c:v>972.2956461421212</c:v>
                </c:pt>
                <c:pt idx="90">
                  <c:v>970.06260143137126</c:v>
                </c:pt>
                <c:pt idx="91">
                  <c:v>967.82955672062133</c:v>
                </c:pt>
                <c:pt idx="92">
                  <c:v>965.59651200987139</c:v>
                </c:pt>
                <c:pt idx="93">
                  <c:v>963.36346729912145</c:v>
                </c:pt>
                <c:pt idx="94">
                  <c:v>961.13042258837152</c:v>
                </c:pt>
                <c:pt idx="95">
                  <c:v>958.89737787762158</c:v>
                </c:pt>
                <c:pt idx="96">
                  <c:v>956.66433316687164</c:v>
                </c:pt>
                <c:pt idx="97">
                  <c:v>954.43128845612171</c:v>
                </c:pt>
                <c:pt idx="98">
                  <c:v>952.19824374537177</c:v>
                </c:pt>
                <c:pt idx="99">
                  <c:v>949.96519903462183</c:v>
                </c:pt>
                <c:pt idx="100">
                  <c:v>947.7321543238719</c:v>
                </c:pt>
                <c:pt idx="101">
                  <c:v>945.49910961312196</c:v>
                </c:pt>
                <c:pt idx="102">
                  <c:v>943.26606490237202</c:v>
                </c:pt>
                <c:pt idx="103">
                  <c:v>941.03302019162209</c:v>
                </c:pt>
                <c:pt idx="104">
                  <c:v>938.79997548087215</c:v>
                </c:pt>
                <c:pt idx="105">
                  <c:v>936.56693077012221</c:v>
                </c:pt>
                <c:pt idx="106">
                  <c:v>934.33388605937228</c:v>
                </c:pt>
                <c:pt idx="107">
                  <c:v>932.10084134862234</c:v>
                </c:pt>
                <c:pt idx="108">
                  <c:v>929.8677966378724</c:v>
                </c:pt>
                <c:pt idx="109">
                  <c:v>927.63475192712247</c:v>
                </c:pt>
                <c:pt idx="110">
                  <c:v>925.40170721637253</c:v>
                </c:pt>
                <c:pt idx="111">
                  <c:v>923.16866250562259</c:v>
                </c:pt>
                <c:pt idx="112">
                  <c:v>920.93561779487266</c:v>
                </c:pt>
                <c:pt idx="113">
                  <c:v>1183.4839999999999</c:v>
                </c:pt>
                <c:pt idx="114">
                  <c:v>1182.6919505993217</c:v>
                </c:pt>
                <c:pt idx="115">
                  <c:v>1181.8999011986434</c:v>
                </c:pt>
                <c:pt idx="116">
                  <c:v>1181.1078517979652</c:v>
                </c:pt>
                <c:pt idx="117">
                  <c:v>1180.3158023972869</c:v>
                </c:pt>
                <c:pt idx="118">
                  <c:v>1179.5237529966087</c:v>
                </c:pt>
                <c:pt idx="119">
                  <c:v>1178.7317035959304</c:v>
                </c:pt>
                <c:pt idx="120">
                  <c:v>1177.9396541952522</c:v>
                </c:pt>
                <c:pt idx="121">
                  <c:v>1177.1476047945739</c:v>
                </c:pt>
                <c:pt idx="122">
                  <c:v>1176.3555553938957</c:v>
                </c:pt>
                <c:pt idx="123">
                  <c:v>1175.5635059932174</c:v>
                </c:pt>
                <c:pt idx="124">
                  <c:v>1174.7714565925392</c:v>
                </c:pt>
                <c:pt idx="125">
                  <c:v>1173.9794071918609</c:v>
                </c:pt>
                <c:pt idx="126">
                  <c:v>1173.1873577911826</c:v>
                </c:pt>
                <c:pt idx="127">
                  <c:v>1172.3953083905044</c:v>
                </c:pt>
                <c:pt idx="128">
                  <c:v>1171.6032589898261</c:v>
                </c:pt>
                <c:pt idx="129">
                  <c:v>1170.8112095891479</c:v>
                </c:pt>
                <c:pt idx="130">
                  <c:v>1170.0191601884696</c:v>
                </c:pt>
                <c:pt idx="131">
                  <c:v>1169.2271107877914</c:v>
                </c:pt>
                <c:pt idx="132">
                  <c:v>1168.4350613871131</c:v>
                </c:pt>
                <c:pt idx="133">
                  <c:v>1167.6430119864349</c:v>
                </c:pt>
                <c:pt idx="134">
                  <c:v>1166.8509625857566</c:v>
                </c:pt>
                <c:pt idx="135">
                  <c:v>1166.0589131850784</c:v>
                </c:pt>
                <c:pt idx="136">
                  <c:v>1165.2668637844001</c:v>
                </c:pt>
                <c:pt idx="137">
                  <c:v>1164.4748143837219</c:v>
                </c:pt>
                <c:pt idx="138">
                  <c:v>1163.6827649830436</c:v>
                </c:pt>
                <c:pt idx="139">
                  <c:v>1162.8907155823654</c:v>
                </c:pt>
                <c:pt idx="140">
                  <c:v>1162.0986661816871</c:v>
                </c:pt>
                <c:pt idx="141">
                  <c:v>1161.3066167810089</c:v>
                </c:pt>
                <c:pt idx="142">
                  <c:v>1160.5145673803306</c:v>
                </c:pt>
                <c:pt idx="143">
                  <c:v>1159.7225179796524</c:v>
                </c:pt>
                <c:pt idx="144">
                  <c:v>1158.9304685789741</c:v>
                </c:pt>
                <c:pt idx="145">
                  <c:v>1158.1384191782959</c:v>
                </c:pt>
                <c:pt idx="146">
                  <c:v>1157.3463697776176</c:v>
                </c:pt>
                <c:pt idx="147">
                  <c:v>1156.5543203769394</c:v>
                </c:pt>
                <c:pt idx="148">
                  <c:v>1155.7622709762611</c:v>
                </c:pt>
                <c:pt idx="149">
                  <c:v>1154.9702215755829</c:v>
                </c:pt>
                <c:pt idx="150">
                  <c:v>1154.1781721749046</c:v>
                </c:pt>
                <c:pt idx="151">
                  <c:v>1153.3861227742264</c:v>
                </c:pt>
                <c:pt idx="152">
                  <c:v>1152.5940733735481</c:v>
                </c:pt>
                <c:pt idx="153">
                  <c:v>1151.8020239728698</c:v>
                </c:pt>
                <c:pt idx="154">
                  <c:v>1151.0099745721916</c:v>
                </c:pt>
                <c:pt idx="155">
                  <c:v>1150.2179251715133</c:v>
                </c:pt>
                <c:pt idx="156">
                  <c:v>1149.4258757708351</c:v>
                </c:pt>
                <c:pt idx="157">
                  <c:v>1148.6338263701568</c:v>
                </c:pt>
                <c:pt idx="158">
                  <c:v>1147.8417769694786</c:v>
                </c:pt>
                <c:pt idx="159">
                  <c:v>1147.0497275688003</c:v>
                </c:pt>
                <c:pt idx="160">
                  <c:v>1146.2576781681221</c:v>
                </c:pt>
                <c:pt idx="161">
                  <c:v>1145.4656287674438</c:v>
                </c:pt>
                <c:pt idx="162">
                  <c:v>1144.6735793667656</c:v>
                </c:pt>
                <c:pt idx="163">
                  <c:v>1143.8815299660873</c:v>
                </c:pt>
                <c:pt idx="164">
                  <c:v>1143.0894805654091</c:v>
                </c:pt>
                <c:pt idx="165">
                  <c:v>1142.2974311647308</c:v>
                </c:pt>
                <c:pt idx="166">
                  <c:v>1141.5053817640526</c:v>
                </c:pt>
                <c:pt idx="167">
                  <c:v>1139.2723370533026</c:v>
                </c:pt>
                <c:pt idx="168">
                  <c:v>1137.0392923425527</c:v>
                </c:pt>
                <c:pt idx="169">
                  <c:v>1134.8062476318028</c:v>
                </c:pt>
                <c:pt idx="170">
                  <c:v>1132.5732029210528</c:v>
                </c:pt>
                <c:pt idx="171">
                  <c:v>1130.3401582103029</c:v>
                </c:pt>
                <c:pt idx="172">
                  <c:v>1128.107113499553</c:v>
                </c:pt>
                <c:pt idx="173">
                  <c:v>1125.874068788803</c:v>
                </c:pt>
                <c:pt idx="174">
                  <c:v>1123.6410240780531</c:v>
                </c:pt>
                <c:pt idx="175">
                  <c:v>1121.4079793673031</c:v>
                </c:pt>
                <c:pt idx="176">
                  <c:v>1119.1749346565532</c:v>
                </c:pt>
                <c:pt idx="177">
                  <c:v>1116.9418899458033</c:v>
                </c:pt>
                <c:pt idx="178">
                  <c:v>1114.7088452350533</c:v>
                </c:pt>
                <c:pt idx="179">
                  <c:v>1112.4758005243034</c:v>
                </c:pt>
                <c:pt idx="180">
                  <c:v>1110.2427558135535</c:v>
                </c:pt>
                <c:pt idx="181">
                  <c:v>1108.0097111028035</c:v>
                </c:pt>
                <c:pt idx="182">
                  <c:v>1105.7766663920536</c:v>
                </c:pt>
                <c:pt idx="183">
                  <c:v>1103.5436216813036</c:v>
                </c:pt>
                <c:pt idx="184">
                  <c:v>1101.3105769705537</c:v>
                </c:pt>
                <c:pt idx="185">
                  <c:v>1099.0775322598038</c:v>
                </c:pt>
                <c:pt idx="186">
                  <c:v>1096.8444875490538</c:v>
                </c:pt>
                <c:pt idx="187">
                  <c:v>1094.6114428383039</c:v>
                </c:pt>
                <c:pt idx="188">
                  <c:v>1092.378398127554</c:v>
                </c:pt>
                <c:pt idx="189">
                  <c:v>1090.145353416804</c:v>
                </c:pt>
                <c:pt idx="190">
                  <c:v>1087.9123087060541</c:v>
                </c:pt>
                <c:pt idx="191">
                  <c:v>1085.6792639953042</c:v>
                </c:pt>
                <c:pt idx="192">
                  <c:v>1083.4462192845542</c:v>
                </c:pt>
                <c:pt idx="193">
                  <c:v>1081.2131745738043</c:v>
                </c:pt>
                <c:pt idx="194">
                  <c:v>1078.9801298630543</c:v>
                </c:pt>
                <c:pt idx="195">
                  <c:v>1076.7470851523044</c:v>
                </c:pt>
                <c:pt idx="196">
                  <c:v>1074.5140404415545</c:v>
                </c:pt>
                <c:pt idx="197">
                  <c:v>1072.2809957308045</c:v>
                </c:pt>
                <c:pt idx="198">
                  <c:v>1070.0479510200546</c:v>
                </c:pt>
                <c:pt idx="199">
                  <c:v>1067.8149063093047</c:v>
                </c:pt>
                <c:pt idx="200">
                  <c:v>1065.5818615985547</c:v>
                </c:pt>
                <c:pt idx="201">
                  <c:v>1063.3488168878048</c:v>
                </c:pt>
                <c:pt idx="202">
                  <c:v>1061.1157721770549</c:v>
                </c:pt>
                <c:pt idx="203">
                  <c:v>1058.8827274663049</c:v>
                </c:pt>
                <c:pt idx="204">
                  <c:v>1056.649682755555</c:v>
                </c:pt>
                <c:pt idx="205">
                  <c:v>1054.416638044805</c:v>
                </c:pt>
                <c:pt idx="206">
                  <c:v>1052.1835933340551</c:v>
                </c:pt>
                <c:pt idx="207">
                  <c:v>1049.9505486233052</c:v>
                </c:pt>
                <c:pt idx="208">
                  <c:v>1047.7175039125552</c:v>
                </c:pt>
                <c:pt idx="209">
                  <c:v>1045.4844592018053</c:v>
                </c:pt>
                <c:pt idx="210">
                  <c:v>1043.2514144910554</c:v>
                </c:pt>
                <c:pt idx="211">
                  <c:v>1041.0183697803054</c:v>
                </c:pt>
                <c:pt idx="212">
                  <c:v>1038.7853250695555</c:v>
                </c:pt>
                <c:pt idx="213">
                  <c:v>1036.5522803588055</c:v>
                </c:pt>
                <c:pt idx="214">
                  <c:v>1034.3192356480556</c:v>
                </c:pt>
                <c:pt idx="215">
                  <c:v>1032.0861909373057</c:v>
                </c:pt>
                <c:pt idx="216">
                  <c:v>1029.8531462265557</c:v>
                </c:pt>
                <c:pt idx="217">
                  <c:v>1027.6201015158058</c:v>
                </c:pt>
                <c:pt idx="218">
                  <c:v>1025.3870568050559</c:v>
                </c:pt>
                <c:pt idx="219">
                  <c:v>1023.1540120943059</c:v>
                </c:pt>
                <c:pt idx="220">
                  <c:v>1020.920967383556</c:v>
                </c:pt>
                <c:pt idx="221">
                  <c:v>1018.6879226728061</c:v>
                </c:pt>
                <c:pt idx="222">
                  <c:v>1016.4548779620561</c:v>
                </c:pt>
                <c:pt idx="223">
                  <c:v>1014.2218332513062</c:v>
                </c:pt>
                <c:pt idx="224">
                  <c:v>1011.9887885405562</c:v>
                </c:pt>
                <c:pt idx="225">
                  <c:v>1009.7557438298063</c:v>
                </c:pt>
                <c:pt idx="226">
                  <c:v>1007.5226991190564</c:v>
                </c:pt>
                <c:pt idx="227">
                  <c:v>1005.2896544083064</c:v>
                </c:pt>
                <c:pt idx="228">
                  <c:v>1003.0566096975565</c:v>
                </c:pt>
                <c:pt idx="229">
                  <c:v>1000.8235649868066</c:v>
                </c:pt>
                <c:pt idx="230">
                  <c:v>998.59052027605662</c:v>
                </c:pt>
                <c:pt idx="231">
                  <c:v>996.35747556530669</c:v>
                </c:pt>
                <c:pt idx="232">
                  <c:v>994.12443085455675</c:v>
                </c:pt>
                <c:pt idx="233">
                  <c:v>991.89138614380681</c:v>
                </c:pt>
                <c:pt idx="234">
                  <c:v>989.65834143305688</c:v>
                </c:pt>
                <c:pt idx="235">
                  <c:v>987.42529672230694</c:v>
                </c:pt>
                <c:pt idx="236">
                  <c:v>985.192252011557</c:v>
                </c:pt>
                <c:pt idx="237">
                  <c:v>982.95920730080707</c:v>
                </c:pt>
                <c:pt idx="238">
                  <c:v>977.21727131977457</c:v>
                </c:pt>
                <c:pt idx="239">
                  <c:v>971.47533533874207</c:v>
                </c:pt>
                <c:pt idx="240">
                  <c:v>965.73339935770957</c:v>
                </c:pt>
                <c:pt idx="241">
                  <c:v>959.99146337667707</c:v>
                </c:pt>
                <c:pt idx="242">
                  <c:v>954.24952739564458</c:v>
                </c:pt>
                <c:pt idx="243">
                  <c:v>948.50759141461208</c:v>
                </c:pt>
                <c:pt idx="244">
                  <c:v>942.76565543357958</c:v>
                </c:pt>
                <c:pt idx="245">
                  <c:v>937.02371945254708</c:v>
                </c:pt>
                <c:pt idx="246">
                  <c:v>931.28178347151459</c:v>
                </c:pt>
                <c:pt idx="247">
                  <c:v>925.53984749048209</c:v>
                </c:pt>
                <c:pt idx="248">
                  <c:v>919.79791150944959</c:v>
                </c:pt>
                <c:pt idx="249">
                  <c:v>929.62900000000002</c:v>
                </c:pt>
              </c:numCache>
            </c:numRef>
          </c:yVal>
        </c:ser>
        <c:ser>
          <c:idx val="5"/>
          <c:order val="5"/>
          <c:tx>
            <c:v>Pump Stations</c:v>
          </c:tx>
          <c:spPr>
            <a:ln>
              <a:noFill/>
            </a:ln>
          </c:spPr>
          <c:marker>
            <c:symbol val="triangle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Hydraulics!$B$4:$B$6</c:f>
              <c:numCache>
                <c:formatCode>General</c:formatCode>
                <c:ptCount val="3"/>
                <c:pt idx="0">
                  <c:v>8</c:v>
                </c:pt>
                <c:pt idx="1">
                  <c:v>228</c:v>
                </c:pt>
              </c:numCache>
            </c:numRef>
          </c:xVal>
          <c:yVal>
            <c:numRef>
              <c:f>Hydraulics!$C$4:$C$6</c:f>
              <c:numCache>
                <c:formatCode>General</c:formatCode>
                <c:ptCount val="3"/>
                <c:pt idx="0">
                  <c:v>1063.8320000000001</c:v>
                </c:pt>
                <c:pt idx="1">
                  <c:v>913.48400000000004</c:v>
                </c:pt>
                <c:pt idx="2">
                  <c:v>0</c:v>
                </c:pt>
              </c:numCache>
            </c:numRef>
          </c:yVal>
        </c:ser>
        <c:ser>
          <c:idx val="6"/>
          <c:order val="6"/>
          <c:tx>
            <c:v>Reservoirs</c:v>
          </c:tx>
          <c:spPr>
            <a:ln>
              <a:noFill/>
            </a:ln>
          </c:spPr>
          <c:marker>
            <c:symbol val="square"/>
            <c:size val="6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Hydraulics!$B$11:$B$15</c:f>
              <c:numCache>
                <c:formatCode>General</c:formatCode>
                <c:ptCount val="5"/>
                <c:pt idx="0">
                  <c:v>2</c:v>
                </c:pt>
                <c:pt idx="1">
                  <c:v>22</c:v>
                </c:pt>
                <c:pt idx="2">
                  <c:v>228</c:v>
                </c:pt>
                <c:pt idx="3">
                  <c:v>500</c:v>
                </c:pt>
              </c:numCache>
            </c:numRef>
          </c:xVal>
          <c:yVal>
            <c:numRef>
              <c:f>Hydraulics!$C$11:$C$15</c:f>
              <c:numCache>
                <c:formatCode>General</c:formatCode>
                <c:ptCount val="5"/>
                <c:pt idx="0">
                  <c:v>1079.018</c:v>
                </c:pt>
                <c:pt idx="1">
                  <c:v>1111.67</c:v>
                </c:pt>
                <c:pt idx="2">
                  <c:v>923.48400000000004</c:v>
                </c:pt>
                <c:pt idx="3">
                  <c:v>929.62900000000002</c:v>
                </c:pt>
                <c:pt idx="4">
                  <c:v>0</c:v>
                </c:pt>
              </c:numCache>
            </c:numRef>
          </c:yVal>
        </c:ser>
        <c:axId val="91280896"/>
        <c:axId val="90308608"/>
      </c:scatterChart>
      <c:valAx>
        <c:axId val="91280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308608"/>
        <c:crosses val="autoZero"/>
        <c:crossBetween val="midCat"/>
      </c:valAx>
      <c:valAx>
        <c:axId val="90308608"/>
        <c:scaling>
          <c:orientation val="minMax"/>
          <c:min val="7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1280896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257174</xdr:colOff>
      <xdr:row>1</xdr:row>
      <xdr:rowOff>133349</xdr:rowOff>
    </xdr:from>
    <xdr:to>
      <xdr:col>24</xdr:col>
      <xdr:colOff>152399</xdr:colOff>
      <xdr:row>34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35278" y="-35277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tabSelected="1" workbookViewId="0">
      <selection sqref="A1:D1"/>
    </sheetView>
  </sheetViews>
  <sheetFormatPr defaultRowHeight="15"/>
  <cols>
    <col min="1" max="1" width="14.28515625" style="57" bestFit="1" customWidth="1"/>
    <col min="2" max="3" width="9.140625" style="57"/>
    <col min="4" max="4" width="17.42578125" style="57" bestFit="1" customWidth="1"/>
    <col min="5" max="16384" width="9.140625" style="57"/>
  </cols>
  <sheetData>
    <row r="1" spans="1:4">
      <c r="A1" s="74" t="s">
        <v>93</v>
      </c>
      <c r="B1" s="74"/>
      <c r="C1" s="74"/>
      <c r="D1" s="74"/>
    </row>
    <row r="2" spans="1:4">
      <c r="A2" s="70" t="s">
        <v>69</v>
      </c>
      <c r="B2" s="70" t="s">
        <v>70</v>
      </c>
      <c r="C2" s="73" t="s">
        <v>71</v>
      </c>
      <c r="D2" s="73"/>
    </row>
    <row r="3" spans="1:4">
      <c r="A3" s="58" t="s">
        <v>72</v>
      </c>
      <c r="B3" s="58" t="s">
        <v>73</v>
      </c>
      <c r="C3" s="58">
        <v>1.9</v>
      </c>
      <c r="D3" s="58" t="s">
        <v>74</v>
      </c>
    </row>
    <row r="4" spans="1:4">
      <c r="A4" s="58" t="s">
        <v>68</v>
      </c>
      <c r="B4" s="58">
        <v>8</v>
      </c>
      <c r="C4" s="58">
        <v>50</v>
      </c>
      <c r="D4" s="58" t="s">
        <v>77</v>
      </c>
    </row>
    <row r="5" spans="1:4">
      <c r="A5" s="58" t="s">
        <v>72</v>
      </c>
      <c r="B5" s="72" t="s">
        <v>79</v>
      </c>
      <c r="C5" s="58">
        <v>1.9</v>
      </c>
      <c r="D5" s="58" t="s">
        <v>74</v>
      </c>
    </row>
    <row r="6" spans="1:4">
      <c r="A6" s="58" t="s">
        <v>80</v>
      </c>
      <c r="B6" s="58">
        <v>22</v>
      </c>
      <c r="C6" s="58">
        <v>10</v>
      </c>
      <c r="D6" s="58" t="s">
        <v>82</v>
      </c>
    </row>
    <row r="7" spans="1:4">
      <c r="A7" s="58" t="s">
        <v>72</v>
      </c>
      <c r="B7" s="58" t="s">
        <v>88</v>
      </c>
      <c r="C7" s="58">
        <v>1.9</v>
      </c>
      <c r="D7" s="58" t="s">
        <v>74</v>
      </c>
    </row>
    <row r="8" spans="1:4">
      <c r="A8" s="58" t="s">
        <v>72</v>
      </c>
      <c r="B8" s="58" t="s">
        <v>89</v>
      </c>
      <c r="C8" s="58">
        <v>1.8</v>
      </c>
      <c r="D8" s="58" t="s">
        <v>74</v>
      </c>
    </row>
    <row r="9" spans="1:4">
      <c r="A9" s="58" t="s">
        <v>80</v>
      </c>
      <c r="B9" s="58">
        <v>228</v>
      </c>
      <c r="C9" s="58">
        <v>10</v>
      </c>
      <c r="D9" s="58" t="s">
        <v>81</v>
      </c>
    </row>
    <row r="10" spans="1:4">
      <c r="A10" s="58" t="s">
        <v>68</v>
      </c>
      <c r="B10" s="58">
        <v>228</v>
      </c>
      <c r="C10" s="58">
        <v>260</v>
      </c>
      <c r="D10" s="58" t="s">
        <v>77</v>
      </c>
    </row>
    <row r="11" spans="1:4">
      <c r="A11" s="58" t="s">
        <v>72</v>
      </c>
      <c r="B11" s="58" t="s">
        <v>90</v>
      </c>
      <c r="C11" s="58">
        <v>2.2000000000000002</v>
      </c>
      <c r="D11" s="58" t="s">
        <v>83</v>
      </c>
    </row>
    <row r="12" spans="1:4">
      <c r="A12" s="58" t="s">
        <v>72</v>
      </c>
      <c r="B12" s="58" t="s">
        <v>84</v>
      </c>
      <c r="C12" s="58">
        <v>1.8</v>
      </c>
      <c r="D12" s="58" t="s">
        <v>83</v>
      </c>
    </row>
    <row r="13" spans="1:4">
      <c r="A13" s="58" t="s">
        <v>72</v>
      </c>
      <c r="B13" s="58" t="s">
        <v>85</v>
      </c>
      <c r="C13" s="58">
        <v>1.5</v>
      </c>
      <c r="D13" s="58" t="s">
        <v>83</v>
      </c>
    </row>
  </sheetData>
  <mergeCells count="2">
    <mergeCell ref="C2:D2"/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63"/>
  <sheetViews>
    <sheetView topLeftCell="A37" workbookViewId="0">
      <selection activeCell="F30" sqref="F30"/>
    </sheetView>
  </sheetViews>
  <sheetFormatPr defaultRowHeight="15.75"/>
  <cols>
    <col min="1" max="1" width="18.140625" style="5" customWidth="1"/>
    <col min="2" max="2" width="26.7109375" style="5" customWidth="1"/>
    <col min="3" max="3" width="25" style="5" customWidth="1"/>
    <col min="4" max="16384" width="9.140625" style="5"/>
  </cols>
  <sheetData>
    <row r="1" spans="1:5">
      <c r="A1" s="4" t="s">
        <v>2</v>
      </c>
      <c r="B1" s="4"/>
      <c r="C1" s="4"/>
    </row>
    <row r="2" spans="1:5" ht="47.25">
      <c r="A2" s="1"/>
      <c r="B2" s="2" t="s">
        <v>1</v>
      </c>
      <c r="C2" s="2" t="s">
        <v>0</v>
      </c>
    </row>
    <row r="3" spans="1:5">
      <c r="A3" s="3" t="s">
        <v>4</v>
      </c>
      <c r="B3" s="3" t="s">
        <v>5</v>
      </c>
      <c r="C3" s="3" t="s">
        <v>5</v>
      </c>
      <c r="E3" s="5" t="s">
        <v>36</v>
      </c>
    </row>
    <row r="4" spans="1:5">
      <c r="A4" s="6">
        <v>2</v>
      </c>
      <c r="B4" s="6">
        <v>1069.018</v>
      </c>
      <c r="C4" s="6">
        <v>1069.018</v>
      </c>
      <c r="D4" s="5" t="s">
        <v>3</v>
      </c>
      <c r="E4" s="5" t="s">
        <v>37</v>
      </c>
    </row>
    <row r="5" spans="1:5">
      <c r="A5" s="6">
        <v>4</v>
      </c>
      <c r="B5" s="6">
        <v>1067.3209999999999</v>
      </c>
      <c r="C5" s="6">
        <v>1067.3209999999999</v>
      </c>
    </row>
    <row r="6" spans="1:5">
      <c r="A6" s="6">
        <v>6</v>
      </c>
      <c r="B6" s="6">
        <v>1064.0350000000001</v>
      </c>
      <c r="C6" s="6">
        <v>1064.0350000000001</v>
      </c>
    </row>
    <row r="7" spans="1:5">
      <c r="A7" s="7">
        <v>8</v>
      </c>
      <c r="B7" s="7">
        <v>1063.8320000000001</v>
      </c>
      <c r="C7" s="7">
        <v>1063.8320000000001</v>
      </c>
    </row>
    <row r="8" spans="1:5">
      <c r="A8" s="6">
        <v>10</v>
      </c>
      <c r="B8" s="6">
        <v>1067.893</v>
      </c>
      <c r="C8" s="6">
        <v>1067.893</v>
      </c>
    </row>
    <row r="9" spans="1:5">
      <c r="A9" s="6">
        <v>12</v>
      </c>
      <c r="B9" s="6">
        <v>1075.133</v>
      </c>
      <c r="C9" s="6">
        <v>1075.133</v>
      </c>
    </row>
    <row r="10" spans="1:5">
      <c r="A10" s="6">
        <v>14</v>
      </c>
      <c r="B10" s="6">
        <v>1082.768</v>
      </c>
      <c r="C10" s="6">
        <v>1082.768</v>
      </c>
    </row>
    <row r="11" spans="1:5">
      <c r="A11" s="6">
        <v>16</v>
      </c>
      <c r="B11" s="6">
        <v>1089.7260000000001</v>
      </c>
      <c r="C11" s="6">
        <v>1089.7260000000001</v>
      </c>
    </row>
    <row r="12" spans="1:5">
      <c r="A12" s="6">
        <v>18</v>
      </c>
      <c r="B12" s="6">
        <v>1094.1310000000001</v>
      </c>
      <c r="C12" s="6">
        <v>1094.1310000000001</v>
      </c>
    </row>
    <row r="13" spans="1:5">
      <c r="A13" s="7">
        <v>20</v>
      </c>
      <c r="B13" s="7">
        <v>1097.8969999999999</v>
      </c>
      <c r="C13" s="7">
        <v>1097.8969999999999</v>
      </c>
    </row>
    <row r="14" spans="1:5">
      <c r="A14" s="6">
        <v>22</v>
      </c>
      <c r="B14" s="6">
        <v>1101.67</v>
      </c>
      <c r="C14" s="6">
        <v>1101.67</v>
      </c>
    </row>
    <row r="15" spans="1:5">
      <c r="A15" s="6">
        <v>24</v>
      </c>
      <c r="B15" s="6">
        <v>1095.952</v>
      </c>
      <c r="C15" s="6">
        <v>1095.952</v>
      </c>
    </row>
    <row r="16" spans="1:5">
      <c r="A16" s="6">
        <v>26</v>
      </c>
      <c r="B16" s="6">
        <v>1090.107</v>
      </c>
      <c r="C16" s="6">
        <v>1090.107</v>
      </c>
    </row>
    <row r="17" spans="1:3">
      <c r="A17" s="6">
        <v>28</v>
      </c>
      <c r="B17" s="6">
        <v>1085.7809999999999</v>
      </c>
      <c r="C17" s="6">
        <v>1085.7809999999999</v>
      </c>
    </row>
    <row r="18" spans="1:3">
      <c r="A18" s="6">
        <v>30</v>
      </c>
      <c r="B18" s="6">
        <v>1081.8900000000001</v>
      </c>
      <c r="C18" s="6">
        <v>1081.8900000000001</v>
      </c>
    </row>
    <row r="19" spans="1:3">
      <c r="A19" s="6">
        <v>32</v>
      </c>
      <c r="B19" s="6">
        <v>1077.9369999999999</v>
      </c>
      <c r="C19" s="6">
        <v>1077.9369999999999</v>
      </c>
    </row>
    <row r="20" spans="1:3">
      <c r="A20" s="6">
        <v>34</v>
      </c>
      <c r="B20" s="6">
        <v>1074.8900000000001</v>
      </c>
      <c r="C20" s="6">
        <v>1074.8900000000001</v>
      </c>
    </row>
    <row r="21" spans="1:3">
      <c r="A21" s="6">
        <v>36</v>
      </c>
      <c r="B21" s="6">
        <v>1071.114</v>
      </c>
      <c r="C21" s="6">
        <v>1071.114</v>
      </c>
    </row>
    <row r="22" spans="1:3">
      <c r="A22" s="6">
        <v>38</v>
      </c>
      <c r="B22" s="6">
        <v>1065.3109999999999</v>
      </c>
      <c r="C22" s="6">
        <v>1065.3109999999999</v>
      </c>
    </row>
    <row r="23" spans="1:3">
      <c r="A23" s="6">
        <v>40</v>
      </c>
      <c r="B23" s="6">
        <v>1059.0509999999999</v>
      </c>
      <c r="C23" s="6">
        <v>1059.0509999999999</v>
      </c>
    </row>
    <row r="24" spans="1:3">
      <c r="A24" s="6">
        <v>42</v>
      </c>
      <c r="B24" s="6">
        <v>1054.28</v>
      </c>
      <c r="C24" s="6">
        <v>1054.28</v>
      </c>
    </row>
    <row r="25" spans="1:3">
      <c r="A25" s="6">
        <v>44</v>
      </c>
      <c r="B25" s="6">
        <v>1053.8710000000001</v>
      </c>
      <c r="C25" s="6">
        <v>1053.8710000000001</v>
      </c>
    </row>
    <row r="26" spans="1:3">
      <c r="A26" s="6">
        <v>46</v>
      </c>
      <c r="B26" s="6">
        <v>1050.42</v>
      </c>
      <c r="C26" s="6">
        <v>1050.42</v>
      </c>
    </row>
    <row r="27" spans="1:3">
      <c r="A27" s="6">
        <v>48</v>
      </c>
      <c r="B27" s="6">
        <v>1052.704</v>
      </c>
      <c r="C27" s="6">
        <v>1052.704</v>
      </c>
    </row>
    <row r="28" spans="1:3">
      <c r="A28" s="6">
        <v>50</v>
      </c>
      <c r="B28" s="6">
        <v>1056.355</v>
      </c>
      <c r="C28" s="6">
        <v>1056.355</v>
      </c>
    </row>
    <row r="29" spans="1:3">
      <c r="A29" s="6">
        <v>52</v>
      </c>
      <c r="B29" s="6">
        <v>1058.4659999999999</v>
      </c>
      <c r="C29" s="6">
        <v>1058.4659999999999</v>
      </c>
    </row>
    <row r="30" spans="1:3">
      <c r="A30" s="6">
        <v>54</v>
      </c>
      <c r="B30" s="6">
        <v>1055.99</v>
      </c>
      <c r="C30" s="6">
        <v>1055.99</v>
      </c>
    </row>
    <row r="31" spans="1:3">
      <c r="A31" s="6">
        <v>56</v>
      </c>
      <c r="B31" s="6">
        <v>1055.6600000000001</v>
      </c>
      <c r="C31" s="6">
        <v>1055.6600000000001</v>
      </c>
    </row>
    <row r="32" spans="1:3">
      <c r="A32" s="6">
        <v>58</v>
      </c>
      <c r="B32" s="6">
        <v>1056.404</v>
      </c>
      <c r="C32" s="6">
        <v>1056.404</v>
      </c>
    </row>
    <row r="33" spans="1:3">
      <c r="A33" s="6">
        <v>60</v>
      </c>
      <c r="B33" s="6">
        <v>1056.8409999999999</v>
      </c>
      <c r="C33" s="6">
        <v>1056.8409999999999</v>
      </c>
    </row>
    <row r="34" spans="1:3">
      <c r="A34" s="6">
        <v>62</v>
      </c>
      <c r="B34" s="6">
        <v>1056.377</v>
      </c>
      <c r="C34" s="6">
        <v>1056.377</v>
      </c>
    </row>
    <row r="35" spans="1:3">
      <c r="A35" s="6">
        <v>64</v>
      </c>
      <c r="B35" s="6">
        <v>1052.5029999999999</v>
      </c>
      <c r="C35" s="6">
        <v>1052.5029999999999</v>
      </c>
    </row>
    <row r="36" spans="1:3">
      <c r="A36" s="6">
        <v>66</v>
      </c>
      <c r="B36" s="6">
        <v>1046.0219999999999</v>
      </c>
      <c r="C36" s="6">
        <v>1046.0219999999999</v>
      </c>
    </row>
    <row r="37" spans="1:3">
      <c r="A37" s="6">
        <v>68</v>
      </c>
      <c r="B37" s="6">
        <v>1036.575</v>
      </c>
      <c r="C37" s="6">
        <v>1036.575</v>
      </c>
    </row>
    <row r="38" spans="1:3">
      <c r="A38" s="6">
        <v>70</v>
      </c>
      <c r="B38" s="6">
        <v>1031.818</v>
      </c>
      <c r="C38" s="6">
        <v>1031.818</v>
      </c>
    </row>
    <row r="39" spans="1:3">
      <c r="A39" s="6">
        <v>72</v>
      </c>
      <c r="B39" s="6">
        <v>1027.675</v>
      </c>
      <c r="C39" s="6">
        <v>1027.675</v>
      </c>
    </row>
    <row r="40" spans="1:3">
      <c r="A40" s="6">
        <v>74</v>
      </c>
      <c r="B40" s="6">
        <v>1023.8440000000001</v>
      </c>
      <c r="C40" s="6">
        <v>1023.8440000000001</v>
      </c>
    </row>
    <row r="41" spans="1:3">
      <c r="A41" s="6">
        <v>76</v>
      </c>
      <c r="B41" s="6">
        <v>1020.888</v>
      </c>
      <c r="C41" s="6">
        <v>1020.888</v>
      </c>
    </row>
    <row r="42" spans="1:3">
      <c r="A42" s="6">
        <v>78</v>
      </c>
      <c r="B42" s="6">
        <v>1023.648</v>
      </c>
      <c r="C42" s="6">
        <v>1023.648</v>
      </c>
    </row>
    <row r="43" spans="1:3">
      <c r="A43" s="6">
        <v>80</v>
      </c>
      <c r="B43" s="6">
        <v>1027.566</v>
      </c>
      <c r="C43" s="6">
        <v>1027.566</v>
      </c>
    </row>
    <row r="44" spans="1:3">
      <c r="A44" s="6">
        <v>82</v>
      </c>
      <c r="B44" s="6">
        <v>1032.3710000000001</v>
      </c>
      <c r="C44" s="6">
        <v>1032.3710000000001</v>
      </c>
    </row>
    <row r="45" spans="1:3">
      <c r="A45" s="6">
        <v>84</v>
      </c>
      <c r="B45" s="6">
        <v>1034.9829999999999</v>
      </c>
      <c r="C45" s="6">
        <v>1034.9829999999999</v>
      </c>
    </row>
    <row r="46" spans="1:3">
      <c r="A46" s="6">
        <v>86</v>
      </c>
      <c r="B46" s="6">
        <v>1033.213</v>
      </c>
      <c r="C46" s="6">
        <v>1033.213</v>
      </c>
    </row>
    <row r="47" spans="1:3">
      <c r="A47" s="6">
        <v>88</v>
      </c>
      <c r="B47" s="6">
        <v>1031.1880000000001</v>
      </c>
      <c r="C47" s="6">
        <v>1031.1880000000001</v>
      </c>
    </row>
    <row r="48" spans="1:3">
      <c r="A48" s="6">
        <v>90</v>
      </c>
      <c r="B48" s="6">
        <v>1029.08</v>
      </c>
      <c r="C48" s="6">
        <v>1029.08</v>
      </c>
    </row>
    <row r="49" spans="1:3">
      <c r="A49" s="6">
        <v>92</v>
      </c>
      <c r="B49" s="6">
        <v>1026.3219999999999</v>
      </c>
      <c r="C49" s="6">
        <v>1026.3219999999999</v>
      </c>
    </row>
    <row r="50" spans="1:3">
      <c r="A50" s="6">
        <v>94</v>
      </c>
      <c r="B50" s="6">
        <v>1023.207</v>
      </c>
      <c r="C50" s="6">
        <v>1023.207</v>
      </c>
    </row>
    <row r="51" spans="1:3">
      <c r="A51" s="6">
        <v>96</v>
      </c>
      <c r="B51" s="6">
        <v>1021.503</v>
      </c>
      <c r="C51" s="6">
        <v>1021.503</v>
      </c>
    </row>
    <row r="52" spans="1:3">
      <c r="A52" s="6">
        <v>98</v>
      </c>
      <c r="B52" s="6">
        <v>1019.765</v>
      </c>
      <c r="C52" s="6">
        <v>1019.765</v>
      </c>
    </row>
    <row r="53" spans="1:3">
      <c r="A53" s="6">
        <v>100</v>
      </c>
      <c r="B53" s="6">
        <v>1018.4930000000001</v>
      </c>
      <c r="C53" s="6">
        <v>1018.4930000000001</v>
      </c>
    </row>
    <row r="54" spans="1:3">
      <c r="A54" s="6">
        <v>102</v>
      </c>
      <c r="B54" s="6">
        <v>1016.444</v>
      </c>
      <c r="C54" s="6">
        <v>1016.444</v>
      </c>
    </row>
    <row r="55" spans="1:3">
      <c r="A55" s="6">
        <v>104</v>
      </c>
      <c r="B55" s="6">
        <v>1013.288</v>
      </c>
      <c r="C55" s="6">
        <v>1013.288</v>
      </c>
    </row>
    <row r="56" spans="1:3">
      <c r="A56" s="6">
        <v>106</v>
      </c>
      <c r="B56" s="6">
        <v>1007.843</v>
      </c>
      <c r="C56" s="6">
        <v>1007.843</v>
      </c>
    </row>
    <row r="57" spans="1:3">
      <c r="A57" s="6">
        <v>108</v>
      </c>
      <c r="B57" s="6">
        <v>1001.282</v>
      </c>
      <c r="C57" s="6">
        <v>1001.282</v>
      </c>
    </row>
    <row r="58" spans="1:3">
      <c r="A58" s="6">
        <v>110</v>
      </c>
      <c r="B58" s="6">
        <v>996.60900000000004</v>
      </c>
      <c r="C58" s="6">
        <v>996.60900000000004</v>
      </c>
    </row>
    <row r="59" spans="1:3">
      <c r="A59" s="6">
        <v>112</v>
      </c>
      <c r="B59" s="6">
        <v>992.99900000000002</v>
      </c>
      <c r="C59" s="6">
        <v>992.99900000000002</v>
      </c>
    </row>
    <row r="60" spans="1:3">
      <c r="A60" s="6">
        <v>114</v>
      </c>
      <c r="B60" s="6">
        <v>993.63900000000001</v>
      </c>
      <c r="C60" s="6">
        <v>993.63900000000001</v>
      </c>
    </row>
    <row r="61" spans="1:3">
      <c r="A61" s="6">
        <v>116</v>
      </c>
      <c r="B61" s="6">
        <v>994.61099999999999</v>
      </c>
      <c r="C61" s="6">
        <v>994.61099999999999</v>
      </c>
    </row>
    <row r="62" spans="1:3">
      <c r="A62" s="6">
        <v>118</v>
      </c>
      <c r="B62" s="6">
        <v>995.75099999999998</v>
      </c>
      <c r="C62" s="6">
        <v>995.75099999999998</v>
      </c>
    </row>
    <row r="63" spans="1:3">
      <c r="A63" s="6">
        <v>120</v>
      </c>
      <c r="B63" s="6">
        <v>996.47900000000004</v>
      </c>
      <c r="C63" s="6">
        <v>996.47900000000004</v>
      </c>
    </row>
    <row r="64" spans="1:3">
      <c r="A64" s="6">
        <v>122</v>
      </c>
      <c r="B64" s="6">
        <v>996.14700000000005</v>
      </c>
      <c r="C64" s="6">
        <v>996.14700000000005</v>
      </c>
    </row>
    <row r="65" spans="1:3">
      <c r="A65" s="6">
        <v>124</v>
      </c>
      <c r="B65" s="6">
        <v>992.09400000000005</v>
      </c>
      <c r="C65" s="6">
        <v>992.09400000000005</v>
      </c>
    </row>
    <row r="66" spans="1:3">
      <c r="A66" s="6">
        <v>126</v>
      </c>
      <c r="B66" s="6">
        <v>985.62300000000005</v>
      </c>
      <c r="C66" s="6">
        <v>985.62300000000005</v>
      </c>
    </row>
    <row r="67" spans="1:3">
      <c r="A67" s="6">
        <v>128</v>
      </c>
      <c r="B67" s="6">
        <v>977.75900000000001</v>
      </c>
      <c r="C67" s="6">
        <v>977.75900000000001</v>
      </c>
    </row>
    <row r="68" spans="1:3">
      <c r="A68" s="6">
        <v>130</v>
      </c>
      <c r="B68" s="6">
        <v>969.77200000000005</v>
      </c>
      <c r="C68" s="6">
        <v>969.77200000000005</v>
      </c>
    </row>
    <row r="69" spans="1:3">
      <c r="A69" s="6">
        <v>132</v>
      </c>
      <c r="B69" s="6">
        <v>981.78499999999997</v>
      </c>
      <c r="C69" s="6">
        <v>981.78499999999997</v>
      </c>
    </row>
    <row r="70" spans="1:3">
      <c r="A70" s="7">
        <v>134</v>
      </c>
      <c r="B70" s="7">
        <v>991.45799999999997</v>
      </c>
      <c r="C70" s="7">
        <v>991.45799999999997</v>
      </c>
    </row>
    <row r="71" spans="1:3">
      <c r="A71" s="6">
        <v>136</v>
      </c>
      <c r="B71" s="6">
        <v>987.77</v>
      </c>
      <c r="C71" s="6">
        <v>987.77</v>
      </c>
    </row>
    <row r="72" spans="1:3">
      <c r="A72" s="6">
        <v>138</v>
      </c>
      <c r="B72" s="6">
        <v>982.72500000000002</v>
      </c>
      <c r="C72" s="6">
        <v>982.72500000000002</v>
      </c>
    </row>
    <row r="73" spans="1:3">
      <c r="A73" s="6">
        <v>140</v>
      </c>
      <c r="B73" s="6">
        <v>977.55899999999997</v>
      </c>
      <c r="C73" s="6">
        <v>977.55899999999997</v>
      </c>
    </row>
    <row r="74" spans="1:3">
      <c r="A74" s="6">
        <v>142</v>
      </c>
      <c r="B74" s="6">
        <v>975.28899999999999</v>
      </c>
      <c r="C74" s="6">
        <v>975.28899999999999</v>
      </c>
    </row>
    <row r="75" spans="1:3">
      <c r="A75" s="6">
        <v>144</v>
      </c>
      <c r="B75" s="6">
        <v>973.96799999999996</v>
      </c>
      <c r="C75" s="6">
        <v>973.96799999999996</v>
      </c>
    </row>
    <row r="76" spans="1:3">
      <c r="A76" s="6">
        <v>146</v>
      </c>
      <c r="B76" s="6">
        <v>962.47299999999996</v>
      </c>
      <c r="C76" s="6">
        <v>962.47299999999996</v>
      </c>
    </row>
    <row r="77" spans="1:3">
      <c r="A77" s="6">
        <v>148</v>
      </c>
      <c r="B77" s="6">
        <v>951.28499999999997</v>
      </c>
      <c r="C77" s="6">
        <v>951.28499999999997</v>
      </c>
    </row>
    <row r="78" spans="1:3">
      <c r="A78" s="6">
        <v>150</v>
      </c>
      <c r="B78" s="6">
        <v>948.17399999999998</v>
      </c>
      <c r="C78" s="6">
        <v>948.17399999999998</v>
      </c>
    </row>
    <row r="79" spans="1:3">
      <c r="A79" s="6">
        <v>152</v>
      </c>
      <c r="B79" s="6">
        <v>944.64099999999996</v>
      </c>
      <c r="C79" s="6">
        <v>944.64099999999996</v>
      </c>
    </row>
    <row r="80" spans="1:3">
      <c r="A80" s="6">
        <v>154</v>
      </c>
      <c r="B80" s="6">
        <v>941.56600000000003</v>
      </c>
      <c r="C80" s="6">
        <v>941.56600000000003</v>
      </c>
    </row>
    <row r="81" spans="1:3">
      <c r="A81" s="6">
        <v>156</v>
      </c>
      <c r="B81" s="6">
        <v>940.94200000000001</v>
      </c>
      <c r="C81" s="6">
        <v>940.94200000000001</v>
      </c>
    </row>
    <row r="82" spans="1:3">
      <c r="A82" s="6">
        <v>158</v>
      </c>
      <c r="B82" s="6">
        <v>939.726</v>
      </c>
      <c r="C82" s="6">
        <v>939.726</v>
      </c>
    </row>
    <row r="83" spans="1:3">
      <c r="A83" s="6">
        <v>160</v>
      </c>
      <c r="B83" s="6">
        <v>936.73800000000006</v>
      </c>
      <c r="C83" s="6">
        <v>936.73800000000006</v>
      </c>
    </row>
    <row r="84" spans="1:3">
      <c r="A84" s="6">
        <v>162</v>
      </c>
      <c r="B84" s="6">
        <v>933.65</v>
      </c>
      <c r="C84" s="6">
        <v>933.65</v>
      </c>
    </row>
    <row r="85" spans="1:3">
      <c r="A85" s="6">
        <v>164</v>
      </c>
      <c r="B85" s="6">
        <v>932.745</v>
      </c>
      <c r="C85" s="6">
        <v>932.745</v>
      </c>
    </row>
    <row r="86" spans="1:3">
      <c r="A86" s="6">
        <v>166</v>
      </c>
      <c r="B86" s="6">
        <v>931.69600000000003</v>
      </c>
      <c r="C86" s="6">
        <v>931.69600000000003</v>
      </c>
    </row>
    <row r="87" spans="1:3">
      <c r="A87" s="6">
        <v>168</v>
      </c>
      <c r="B87" s="6">
        <v>930.99900000000002</v>
      </c>
      <c r="C87" s="6">
        <v>930.99900000000002</v>
      </c>
    </row>
    <row r="88" spans="1:3">
      <c r="A88" s="6">
        <v>170</v>
      </c>
      <c r="B88" s="6">
        <v>930.88499999999999</v>
      </c>
      <c r="C88" s="6">
        <v>930.88499999999999</v>
      </c>
    </row>
    <row r="89" spans="1:3">
      <c r="A89" s="6">
        <v>172</v>
      </c>
      <c r="B89" s="6">
        <v>930.37800000000004</v>
      </c>
      <c r="C89" s="6">
        <v>930.37800000000004</v>
      </c>
    </row>
    <row r="90" spans="1:3">
      <c r="A90" s="6">
        <v>174</v>
      </c>
      <c r="B90" s="6">
        <v>931.32399999999996</v>
      </c>
      <c r="C90" s="6">
        <v>931.32399999999996</v>
      </c>
    </row>
    <row r="91" spans="1:3">
      <c r="A91" s="6">
        <v>176</v>
      </c>
      <c r="B91" s="6">
        <v>933.53</v>
      </c>
      <c r="C91" s="6">
        <v>933.53</v>
      </c>
    </row>
    <row r="92" spans="1:3">
      <c r="A92" s="6">
        <v>178</v>
      </c>
      <c r="B92" s="6">
        <v>932.71400000000006</v>
      </c>
      <c r="C92" s="6">
        <v>932.71400000000006</v>
      </c>
    </row>
    <row r="93" spans="1:3">
      <c r="A93" s="6">
        <v>180</v>
      </c>
      <c r="B93" s="6">
        <v>928.31100000000004</v>
      </c>
      <c r="C93" s="6">
        <v>928.31100000000004</v>
      </c>
    </row>
    <row r="94" spans="1:3">
      <c r="A94" s="6">
        <v>182</v>
      </c>
      <c r="B94" s="6">
        <v>924.17899999999997</v>
      </c>
      <c r="C94" s="6">
        <v>924.17899999999997</v>
      </c>
    </row>
    <row r="95" spans="1:3">
      <c r="A95" s="6">
        <v>184</v>
      </c>
      <c r="B95" s="6">
        <v>928.39800000000002</v>
      </c>
      <c r="C95" s="6">
        <v>928.39800000000002</v>
      </c>
    </row>
    <row r="96" spans="1:3">
      <c r="A96" s="6">
        <v>186</v>
      </c>
      <c r="B96" s="6">
        <v>930.86599999999999</v>
      </c>
      <c r="C96" s="6">
        <v>930.86599999999999</v>
      </c>
    </row>
    <row r="97" spans="1:3">
      <c r="A97" s="6">
        <v>188</v>
      </c>
      <c r="B97" s="6">
        <v>928.41099999999994</v>
      </c>
      <c r="C97" s="6">
        <v>928.41099999999994</v>
      </c>
    </row>
    <row r="98" spans="1:3">
      <c r="A98" s="6">
        <v>190</v>
      </c>
      <c r="B98" s="6">
        <v>927.84900000000005</v>
      </c>
      <c r="C98" s="6">
        <v>927.84900000000005</v>
      </c>
    </row>
    <row r="99" spans="1:3">
      <c r="A99" s="6">
        <v>192</v>
      </c>
      <c r="B99" s="6">
        <v>926.71</v>
      </c>
      <c r="C99" s="6">
        <v>926.71</v>
      </c>
    </row>
    <row r="100" spans="1:3">
      <c r="A100" s="6">
        <v>194</v>
      </c>
      <c r="B100" s="6">
        <v>926.20100000000002</v>
      </c>
      <c r="C100" s="6">
        <v>926.20100000000002</v>
      </c>
    </row>
    <row r="101" spans="1:3">
      <c r="A101" s="6">
        <v>196</v>
      </c>
      <c r="B101" s="6">
        <v>924.50900000000001</v>
      </c>
      <c r="C101" s="6">
        <v>924.50900000000001</v>
      </c>
    </row>
    <row r="102" spans="1:3">
      <c r="A102" s="6">
        <v>198</v>
      </c>
      <c r="B102" s="6">
        <v>923.41700000000003</v>
      </c>
      <c r="C102" s="6">
        <v>923.41700000000003</v>
      </c>
    </row>
    <row r="103" spans="1:3">
      <c r="A103" s="6">
        <v>200</v>
      </c>
      <c r="B103" s="6">
        <v>923.01099999999997</v>
      </c>
      <c r="C103" s="6">
        <v>923.01099999999997</v>
      </c>
    </row>
    <row r="104" spans="1:3">
      <c r="A104" s="6">
        <v>202</v>
      </c>
      <c r="B104" s="6">
        <v>921.96900000000005</v>
      </c>
      <c r="C104" s="6">
        <v>921.96900000000005</v>
      </c>
    </row>
    <row r="105" spans="1:3">
      <c r="A105" s="6">
        <v>204</v>
      </c>
      <c r="B105" s="6">
        <v>920.66099999999994</v>
      </c>
      <c r="C105" s="6">
        <v>920.66099999999994</v>
      </c>
    </row>
    <row r="106" spans="1:3">
      <c r="A106" s="6">
        <v>206</v>
      </c>
      <c r="B106" s="6">
        <v>920.24300000000005</v>
      </c>
      <c r="C106" s="6">
        <v>920.24300000000005</v>
      </c>
    </row>
    <row r="107" spans="1:3">
      <c r="A107" s="6">
        <v>208</v>
      </c>
      <c r="B107" s="6">
        <v>919.29700000000003</v>
      </c>
      <c r="C107" s="6">
        <v>919.29700000000003</v>
      </c>
    </row>
    <row r="108" spans="1:3">
      <c r="A108" s="6">
        <v>210</v>
      </c>
      <c r="B108" s="6">
        <v>917.53300000000002</v>
      </c>
      <c r="C108" s="6">
        <v>917.53300000000002</v>
      </c>
    </row>
    <row r="109" spans="1:3">
      <c r="A109" s="6">
        <v>212</v>
      </c>
      <c r="B109" s="6">
        <v>917.68399999999997</v>
      </c>
      <c r="C109" s="6">
        <v>917.68399999999997</v>
      </c>
    </row>
    <row r="110" spans="1:3">
      <c r="A110" s="6">
        <v>214</v>
      </c>
      <c r="B110" s="6">
        <v>915.72400000000005</v>
      </c>
      <c r="C110" s="6">
        <v>915.72400000000005</v>
      </c>
    </row>
    <row r="111" spans="1:3">
      <c r="A111" s="6">
        <v>216</v>
      </c>
      <c r="B111" s="6">
        <v>915.73</v>
      </c>
      <c r="C111" s="6">
        <v>915.73</v>
      </c>
    </row>
    <row r="112" spans="1:3">
      <c r="A112" s="6">
        <v>218</v>
      </c>
      <c r="B112" s="6">
        <v>915.58399999999995</v>
      </c>
      <c r="C112" s="6">
        <v>915.58399999999995</v>
      </c>
    </row>
    <row r="113" spans="1:3">
      <c r="A113" s="6">
        <v>220</v>
      </c>
      <c r="B113" s="6">
        <v>915.44399999999996</v>
      </c>
      <c r="C113" s="6">
        <v>915.44399999999996</v>
      </c>
    </row>
    <row r="114" spans="1:3">
      <c r="A114" s="6">
        <v>222</v>
      </c>
      <c r="B114" s="6">
        <v>913.52</v>
      </c>
      <c r="C114" s="6">
        <v>913.52</v>
      </c>
    </row>
    <row r="115" spans="1:3">
      <c r="A115" s="6">
        <v>224</v>
      </c>
      <c r="B115" s="6">
        <v>912.524</v>
      </c>
      <c r="C115" s="6">
        <v>912.524</v>
      </c>
    </row>
    <row r="116" spans="1:3">
      <c r="A116" s="6">
        <v>226</v>
      </c>
      <c r="B116" s="6">
        <v>912.56500000000005</v>
      </c>
      <c r="C116" s="6">
        <v>912.56500000000005</v>
      </c>
    </row>
    <row r="117" spans="1:3">
      <c r="A117" s="7">
        <v>228</v>
      </c>
      <c r="B117" s="7">
        <v>913.48400000000004</v>
      </c>
      <c r="C117" s="7">
        <v>913.48400000000004</v>
      </c>
    </row>
    <row r="118" spans="1:3">
      <c r="A118" s="6">
        <v>230</v>
      </c>
      <c r="B118" s="6">
        <v>913.54499999999996</v>
      </c>
      <c r="C118" s="6">
        <v>913.54499999999996</v>
      </c>
    </row>
    <row r="119" spans="1:3">
      <c r="A119" s="6">
        <v>232</v>
      </c>
      <c r="B119" s="6">
        <v>914.54600000000005</v>
      </c>
      <c r="C119" s="6">
        <v>914.54600000000005</v>
      </c>
    </row>
    <row r="120" spans="1:3">
      <c r="A120" s="6">
        <v>234</v>
      </c>
      <c r="B120" s="6">
        <v>918.28499999999997</v>
      </c>
      <c r="C120" s="6">
        <v>918.28499999999997</v>
      </c>
    </row>
    <row r="121" spans="1:3">
      <c r="A121" s="6">
        <v>236</v>
      </c>
      <c r="B121" s="6">
        <v>919.35699999999997</v>
      </c>
      <c r="C121" s="6">
        <v>919.35699999999997</v>
      </c>
    </row>
    <row r="122" spans="1:3">
      <c r="A122" s="6">
        <v>238</v>
      </c>
      <c r="B122" s="6">
        <v>918.649</v>
      </c>
      <c r="C122" s="6">
        <v>918.649</v>
      </c>
    </row>
    <row r="123" spans="1:3">
      <c r="A123" s="6">
        <v>240</v>
      </c>
      <c r="B123" s="6">
        <v>922.97400000000005</v>
      </c>
      <c r="C123" s="6">
        <v>922.97400000000005</v>
      </c>
    </row>
    <row r="124" spans="1:3">
      <c r="A124" s="6">
        <v>242</v>
      </c>
      <c r="B124" s="6">
        <v>927.375</v>
      </c>
      <c r="C124" s="6">
        <v>927.375</v>
      </c>
    </row>
    <row r="125" spans="1:3">
      <c r="A125" s="6">
        <v>244</v>
      </c>
      <c r="B125" s="6">
        <v>929.25300000000004</v>
      </c>
      <c r="C125" s="6">
        <v>929.25300000000004</v>
      </c>
    </row>
    <row r="126" spans="1:3">
      <c r="A126" s="6">
        <v>246</v>
      </c>
      <c r="B126" s="6">
        <v>930.86300000000006</v>
      </c>
      <c r="C126" s="6">
        <v>930.86300000000006</v>
      </c>
    </row>
    <row r="127" spans="1:3">
      <c r="A127" s="6">
        <v>248</v>
      </c>
      <c r="B127" s="6">
        <v>931.92399999999998</v>
      </c>
      <c r="C127" s="6">
        <v>931.92399999999998</v>
      </c>
    </row>
    <row r="128" spans="1:3">
      <c r="A128" s="6">
        <v>250</v>
      </c>
      <c r="B128" s="6">
        <v>936.72199999999998</v>
      </c>
      <c r="C128" s="6">
        <v>936.72199999999998</v>
      </c>
    </row>
    <row r="129" spans="1:3">
      <c r="A129" s="6">
        <v>252</v>
      </c>
      <c r="B129" s="6">
        <v>941.77700000000004</v>
      </c>
      <c r="C129" s="6">
        <v>941.77700000000004</v>
      </c>
    </row>
    <row r="130" spans="1:3">
      <c r="A130" s="6">
        <v>254</v>
      </c>
      <c r="B130" s="6">
        <v>948.14300000000003</v>
      </c>
      <c r="C130" s="6">
        <v>948.14300000000003</v>
      </c>
    </row>
    <row r="131" spans="1:3">
      <c r="A131" s="6">
        <v>256</v>
      </c>
      <c r="B131" s="6">
        <v>955.41700000000003</v>
      </c>
      <c r="C131" s="6">
        <v>955.41700000000003</v>
      </c>
    </row>
    <row r="132" spans="1:3">
      <c r="A132" s="6">
        <v>258</v>
      </c>
      <c r="B132" s="6">
        <v>962.7</v>
      </c>
      <c r="C132" s="6">
        <v>962.7</v>
      </c>
    </row>
    <row r="133" spans="1:3">
      <c r="A133" s="6">
        <v>260</v>
      </c>
      <c r="B133" s="6">
        <v>969.28099999999995</v>
      </c>
      <c r="C133" s="6">
        <v>969.28099999999995</v>
      </c>
    </row>
    <row r="134" spans="1:3">
      <c r="A134" s="6">
        <v>262</v>
      </c>
      <c r="B134" s="6">
        <v>980.28399999999999</v>
      </c>
      <c r="C134" s="6">
        <v>980.28399999999999</v>
      </c>
    </row>
    <row r="135" spans="1:3">
      <c r="A135" s="6">
        <v>264</v>
      </c>
      <c r="B135" s="6">
        <v>986.55100000000004</v>
      </c>
      <c r="C135" s="6">
        <v>986.55100000000004</v>
      </c>
    </row>
    <row r="136" spans="1:3">
      <c r="A136" s="6">
        <v>266</v>
      </c>
      <c r="B136" s="6">
        <v>989.19799999999998</v>
      </c>
      <c r="C136" s="6">
        <v>989.19799999999998</v>
      </c>
    </row>
    <row r="137" spans="1:3">
      <c r="A137" s="6">
        <v>268</v>
      </c>
      <c r="B137" s="6">
        <v>994.39</v>
      </c>
      <c r="C137" s="6">
        <v>994.39</v>
      </c>
    </row>
    <row r="138" spans="1:3">
      <c r="A138" s="6">
        <v>270</v>
      </c>
      <c r="B138" s="6">
        <v>999.91700000000003</v>
      </c>
      <c r="C138" s="6">
        <v>999.91700000000003</v>
      </c>
    </row>
    <row r="139" spans="1:3">
      <c r="A139" s="6">
        <v>272</v>
      </c>
      <c r="B139" s="6">
        <v>1004.623</v>
      </c>
      <c r="C139" s="6">
        <v>1004.623</v>
      </c>
    </row>
    <row r="140" spans="1:3">
      <c r="A140" s="6">
        <v>274</v>
      </c>
      <c r="B140" s="6">
        <v>1008.819</v>
      </c>
      <c r="C140" s="6">
        <v>1008.819</v>
      </c>
    </row>
    <row r="141" spans="1:3">
      <c r="A141" s="6">
        <v>276</v>
      </c>
      <c r="B141" s="6">
        <v>1007.8339999999999</v>
      </c>
      <c r="C141" s="6">
        <v>1007.8339999999999</v>
      </c>
    </row>
    <row r="142" spans="1:3">
      <c r="A142" s="6">
        <v>278</v>
      </c>
      <c r="B142" s="6">
        <v>1005.626</v>
      </c>
      <c r="C142" s="6">
        <v>1005.626</v>
      </c>
    </row>
    <row r="143" spans="1:3">
      <c r="A143" s="6">
        <v>280</v>
      </c>
      <c r="B143" s="6">
        <v>1001.623</v>
      </c>
      <c r="C143" s="6">
        <v>1001.623</v>
      </c>
    </row>
    <row r="144" spans="1:3">
      <c r="A144" s="7">
        <v>282</v>
      </c>
      <c r="B144" s="7">
        <v>1004.052</v>
      </c>
      <c r="C144" s="7">
        <v>1004.052</v>
      </c>
    </row>
    <row r="145" spans="1:3">
      <c r="A145" s="6">
        <v>284</v>
      </c>
      <c r="B145" s="6">
        <v>1010.797</v>
      </c>
      <c r="C145" s="6">
        <v>1010.797</v>
      </c>
    </row>
    <row r="146" spans="1:3">
      <c r="A146" s="6">
        <v>286</v>
      </c>
      <c r="B146" s="6">
        <v>1014.67</v>
      </c>
      <c r="C146" s="6">
        <v>1014.67</v>
      </c>
    </row>
    <row r="147" spans="1:3">
      <c r="A147" s="6">
        <v>288</v>
      </c>
      <c r="B147" s="6">
        <v>1017.319</v>
      </c>
      <c r="C147" s="6">
        <v>1017.319</v>
      </c>
    </row>
    <row r="148" spans="1:3">
      <c r="A148" s="6">
        <v>290</v>
      </c>
      <c r="B148" s="6">
        <v>1027.4590000000001</v>
      </c>
      <c r="C148" s="6">
        <v>1027.4590000000001</v>
      </c>
    </row>
    <row r="149" spans="1:3">
      <c r="A149" s="6">
        <v>292</v>
      </c>
      <c r="B149" s="6">
        <v>1031.99</v>
      </c>
      <c r="C149" s="6">
        <v>1031.99</v>
      </c>
    </row>
    <row r="150" spans="1:3">
      <c r="A150" s="6">
        <v>294</v>
      </c>
      <c r="B150" s="6">
        <v>1036.2539999999999</v>
      </c>
      <c r="C150" s="6">
        <v>1036.2539999999999</v>
      </c>
    </row>
    <row r="151" spans="1:3">
      <c r="A151" s="6">
        <v>296</v>
      </c>
      <c r="B151" s="6">
        <v>1040.127</v>
      </c>
      <c r="C151" s="6">
        <v>1040.127</v>
      </c>
    </row>
    <row r="152" spans="1:3">
      <c r="A152" s="6">
        <v>298</v>
      </c>
      <c r="B152" s="6">
        <v>1044.396</v>
      </c>
      <c r="C152" s="6">
        <v>1044.396</v>
      </c>
    </row>
    <row r="153" spans="1:3">
      <c r="A153" s="6">
        <v>300</v>
      </c>
      <c r="B153" s="6">
        <v>1051.3389999999999</v>
      </c>
      <c r="C153" s="6">
        <v>1051.3389999999999</v>
      </c>
    </row>
    <row r="154" spans="1:3">
      <c r="A154" s="6">
        <v>302</v>
      </c>
      <c r="B154" s="6">
        <v>1060.9549999999999</v>
      </c>
      <c r="C154" s="6">
        <v>1060.9549999999999</v>
      </c>
    </row>
    <row r="155" spans="1:3">
      <c r="A155" s="6">
        <v>304</v>
      </c>
      <c r="B155" s="6">
        <v>1070.2270000000001</v>
      </c>
      <c r="C155" s="6">
        <v>1070.2270000000001</v>
      </c>
    </row>
    <row r="156" spans="1:3">
      <c r="A156" s="6">
        <v>306</v>
      </c>
      <c r="B156" s="6">
        <v>1072.691</v>
      </c>
      <c r="C156" s="6">
        <v>1072.691</v>
      </c>
    </row>
    <row r="157" spans="1:3">
      <c r="A157" s="10">
        <v>308</v>
      </c>
      <c r="B157" s="10">
        <v>1076.5029999999999</v>
      </c>
      <c r="C157" s="10">
        <v>1076.5029999999999</v>
      </c>
    </row>
    <row r="158" spans="1:3">
      <c r="A158" s="6">
        <v>310</v>
      </c>
      <c r="B158" s="6">
        <v>1083.9960000000001</v>
      </c>
      <c r="C158" s="6">
        <v>1083.9960000000001</v>
      </c>
    </row>
    <row r="159" spans="1:3">
      <c r="A159" s="6">
        <v>312</v>
      </c>
      <c r="B159" s="6">
        <v>1097.1880000000001</v>
      </c>
      <c r="C159" s="6">
        <v>1097.1880000000001</v>
      </c>
    </row>
    <row r="160" spans="1:3">
      <c r="A160" s="6">
        <v>314</v>
      </c>
      <c r="B160" s="6">
        <v>1103.5450000000001</v>
      </c>
      <c r="C160" s="6">
        <v>1103.5450000000001</v>
      </c>
    </row>
    <row r="161" spans="1:3">
      <c r="A161" s="6">
        <v>316</v>
      </c>
      <c r="B161" s="6">
        <v>1105.174</v>
      </c>
      <c r="C161" s="6">
        <v>1105.174</v>
      </c>
    </row>
    <row r="162" spans="1:3">
      <c r="A162" s="6">
        <v>318</v>
      </c>
      <c r="B162" s="6">
        <v>1111.6569999999999</v>
      </c>
      <c r="C162" s="6">
        <v>1111.6569999999999</v>
      </c>
    </row>
    <row r="163" spans="1:3">
      <c r="A163" s="6">
        <v>320</v>
      </c>
      <c r="B163" s="6">
        <v>1122.9349999999999</v>
      </c>
      <c r="C163" s="6">
        <v>1122.9349999999999</v>
      </c>
    </row>
    <row r="164" spans="1:3">
      <c r="A164" s="6">
        <v>322</v>
      </c>
      <c r="B164" s="6">
        <v>1128.1969999999999</v>
      </c>
      <c r="C164" s="6">
        <v>1128.1969999999999</v>
      </c>
    </row>
    <row r="165" spans="1:3">
      <c r="A165" s="6">
        <v>324</v>
      </c>
      <c r="B165" s="6">
        <v>1132.5609999999999</v>
      </c>
      <c r="C165" s="6">
        <v>1132.5609999999999</v>
      </c>
    </row>
    <row r="166" spans="1:3">
      <c r="A166" s="6">
        <v>326</v>
      </c>
      <c r="B166" s="6">
        <v>1131.854</v>
      </c>
      <c r="C166" s="6">
        <v>1131.854</v>
      </c>
    </row>
    <row r="167" spans="1:3">
      <c r="A167" s="6">
        <v>328</v>
      </c>
      <c r="B167" s="6">
        <v>1133.338</v>
      </c>
      <c r="C167" s="6">
        <v>1133.338</v>
      </c>
    </row>
    <row r="168" spans="1:3">
      <c r="A168" s="7">
        <v>330</v>
      </c>
      <c r="B168" s="7">
        <v>1136.405</v>
      </c>
      <c r="C168" s="7">
        <v>1136.405</v>
      </c>
    </row>
    <row r="169" spans="1:3">
      <c r="A169" s="6">
        <v>332</v>
      </c>
      <c r="B169" s="6">
        <v>1128.7090000000001</v>
      </c>
      <c r="C169" s="6">
        <v>1128.7090000000001</v>
      </c>
    </row>
    <row r="170" spans="1:3">
      <c r="A170" s="6">
        <v>334</v>
      </c>
      <c r="B170" s="6">
        <v>1120.713</v>
      </c>
      <c r="C170" s="6">
        <v>1120.713</v>
      </c>
    </row>
    <row r="171" spans="1:3">
      <c r="A171" s="6">
        <v>336</v>
      </c>
      <c r="B171" s="6">
        <v>1115.2260000000001</v>
      </c>
      <c r="C171" s="6">
        <v>1115.2260000000001</v>
      </c>
    </row>
    <row r="172" spans="1:3">
      <c r="A172" s="6">
        <v>338</v>
      </c>
      <c r="B172" s="6">
        <v>1108.7090000000001</v>
      </c>
      <c r="C172" s="6">
        <v>1108.7090000000001</v>
      </c>
    </row>
    <row r="173" spans="1:3">
      <c r="A173" s="6">
        <v>340</v>
      </c>
      <c r="B173" s="6">
        <v>1102.499</v>
      </c>
      <c r="C173" s="6">
        <v>1102.499</v>
      </c>
    </row>
    <row r="174" spans="1:3">
      <c r="A174" s="6">
        <v>342</v>
      </c>
      <c r="B174" s="6">
        <v>1096.3489999999999</v>
      </c>
      <c r="C174" s="6">
        <v>1096.3489999999999</v>
      </c>
    </row>
    <row r="175" spans="1:3">
      <c r="A175" s="6">
        <v>344</v>
      </c>
      <c r="B175" s="6">
        <v>1090.3900000000001</v>
      </c>
      <c r="C175" s="6">
        <v>1090.3900000000001</v>
      </c>
    </row>
    <row r="176" spans="1:3">
      <c r="A176" s="6">
        <v>346</v>
      </c>
      <c r="B176" s="6">
        <v>1087.7650000000001</v>
      </c>
      <c r="C176" s="6">
        <v>1087.7650000000001</v>
      </c>
    </row>
    <row r="177" spans="1:3">
      <c r="A177" s="6">
        <v>348</v>
      </c>
      <c r="B177" s="6">
        <v>1084.6610000000001</v>
      </c>
      <c r="C177" s="6">
        <v>1084.6610000000001</v>
      </c>
    </row>
    <row r="178" spans="1:3">
      <c r="A178" s="6">
        <v>350</v>
      </c>
      <c r="B178" s="6">
        <v>1081.662</v>
      </c>
      <c r="C178" s="6">
        <v>1081.662</v>
      </c>
    </row>
    <row r="179" spans="1:3">
      <c r="A179" s="6">
        <v>352</v>
      </c>
      <c r="B179" s="6">
        <v>1076.8720000000001</v>
      </c>
      <c r="C179" s="6">
        <v>1076.8720000000001</v>
      </c>
    </row>
    <row r="180" spans="1:3">
      <c r="A180" s="6">
        <v>354</v>
      </c>
      <c r="B180" s="6">
        <v>1070.8979999999999</v>
      </c>
      <c r="C180" s="6">
        <v>1070.8979999999999</v>
      </c>
    </row>
    <row r="181" spans="1:3">
      <c r="A181" s="6">
        <v>356</v>
      </c>
      <c r="B181" s="6">
        <v>1065.018</v>
      </c>
      <c r="C181" s="6">
        <v>1065.018</v>
      </c>
    </row>
    <row r="182" spans="1:3">
      <c r="A182" s="10">
        <v>358</v>
      </c>
      <c r="B182" s="10">
        <v>1059.58</v>
      </c>
      <c r="C182" s="10">
        <v>1059.58</v>
      </c>
    </row>
    <row r="183" spans="1:3">
      <c r="A183" s="6">
        <v>360</v>
      </c>
      <c r="B183" s="6">
        <v>1055.2840000000001</v>
      </c>
      <c r="C183" s="6">
        <v>1055.2840000000001</v>
      </c>
    </row>
    <row r="184" spans="1:3">
      <c r="A184" s="6">
        <v>362</v>
      </c>
      <c r="B184" s="6">
        <v>1050.886</v>
      </c>
      <c r="C184" s="6">
        <v>1050.886</v>
      </c>
    </row>
    <row r="185" spans="1:3">
      <c r="A185" s="6">
        <v>364</v>
      </c>
      <c r="B185" s="6">
        <v>1052.6469999999999</v>
      </c>
      <c r="C185" s="6">
        <v>1052.6469999999999</v>
      </c>
    </row>
    <row r="186" spans="1:3">
      <c r="A186" s="6">
        <v>366</v>
      </c>
      <c r="B186" s="6">
        <v>1051.117</v>
      </c>
      <c r="C186" s="6">
        <v>1051.117</v>
      </c>
    </row>
    <row r="187" spans="1:3">
      <c r="A187" s="6">
        <v>368</v>
      </c>
      <c r="B187" s="6">
        <v>1048.2660000000001</v>
      </c>
      <c r="C187" s="6">
        <v>1048.2660000000001</v>
      </c>
    </row>
    <row r="188" spans="1:3">
      <c r="A188" s="6">
        <v>370</v>
      </c>
      <c r="B188" s="6">
        <v>1040.172</v>
      </c>
      <c r="C188" s="6">
        <v>1040.172</v>
      </c>
    </row>
    <row r="189" spans="1:3">
      <c r="A189" s="6">
        <v>372</v>
      </c>
      <c r="B189" s="6">
        <v>1033.4829999999999</v>
      </c>
      <c r="C189" s="6">
        <v>1033.4829999999999</v>
      </c>
    </row>
    <row r="190" spans="1:3">
      <c r="A190" s="6">
        <v>374</v>
      </c>
      <c r="B190" s="6">
        <v>1030.95</v>
      </c>
      <c r="C190" s="6">
        <v>1030.95</v>
      </c>
    </row>
    <row r="191" spans="1:3">
      <c r="A191" s="6">
        <v>376</v>
      </c>
      <c r="B191" s="6">
        <v>1032.2629999999999</v>
      </c>
      <c r="C191" s="6">
        <v>1032.2629999999999</v>
      </c>
    </row>
    <row r="192" spans="1:3">
      <c r="A192" s="6">
        <v>378</v>
      </c>
      <c r="B192" s="6">
        <v>1031.3910000000001</v>
      </c>
      <c r="C192" s="6">
        <v>1031.3910000000001</v>
      </c>
    </row>
    <row r="193" spans="1:3">
      <c r="A193" s="6">
        <v>380</v>
      </c>
      <c r="B193" s="6">
        <v>1025.7909999999999</v>
      </c>
      <c r="C193" s="6">
        <v>1025.7909999999999</v>
      </c>
    </row>
    <row r="194" spans="1:3">
      <c r="A194" s="6">
        <v>382</v>
      </c>
      <c r="B194" s="6">
        <v>1020.9109999999999</v>
      </c>
      <c r="C194" s="6">
        <v>1020.9109999999999</v>
      </c>
    </row>
    <row r="195" spans="1:3">
      <c r="A195" s="6">
        <v>384</v>
      </c>
      <c r="B195" s="6">
        <v>1015.65</v>
      </c>
      <c r="C195" s="6">
        <v>1015.65</v>
      </c>
    </row>
    <row r="196" spans="1:3">
      <c r="A196" s="6">
        <v>386</v>
      </c>
      <c r="B196" s="6">
        <v>1012.139</v>
      </c>
      <c r="C196" s="6">
        <v>1012.139</v>
      </c>
    </row>
    <row r="197" spans="1:3">
      <c r="A197" s="6">
        <v>388</v>
      </c>
      <c r="B197" s="6">
        <v>1010.472</v>
      </c>
      <c r="C197" s="6">
        <v>1010.472</v>
      </c>
    </row>
    <row r="198" spans="1:3">
      <c r="A198" s="6">
        <v>390</v>
      </c>
      <c r="B198" s="6">
        <v>1005.401</v>
      </c>
      <c r="C198" s="6">
        <v>1005.401</v>
      </c>
    </row>
    <row r="199" spans="1:3">
      <c r="A199" s="6">
        <v>392</v>
      </c>
      <c r="B199" s="6">
        <v>996.66600000000005</v>
      </c>
      <c r="C199" s="6">
        <v>996.66600000000005</v>
      </c>
    </row>
    <row r="200" spans="1:3">
      <c r="A200" s="6">
        <v>394</v>
      </c>
      <c r="B200" s="6">
        <v>991.35</v>
      </c>
      <c r="C200" s="6">
        <v>991.35</v>
      </c>
    </row>
    <row r="201" spans="1:3">
      <c r="A201" s="6">
        <v>396</v>
      </c>
      <c r="B201" s="6">
        <v>990.48599999999999</v>
      </c>
      <c r="C201" s="6">
        <v>990.48599999999999</v>
      </c>
    </row>
    <row r="202" spans="1:3">
      <c r="A202" s="6">
        <v>398</v>
      </c>
      <c r="B202" s="6">
        <v>992.76099999999997</v>
      </c>
      <c r="C202" s="6">
        <v>992.76099999999997</v>
      </c>
    </row>
    <row r="203" spans="1:3">
      <c r="A203" s="6">
        <v>400</v>
      </c>
      <c r="B203" s="6">
        <v>999.077</v>
      </c>
      <c r="C203" s="6">
        <v>999.077</v>
      </c>
    </row>
    <row r="204" spans="1:3">
      <c r="A204" s="6">
        <v>402</v>
      </c>
      <c r="B204" s="6">
        <v>1001.8</v>
      </c>
      <c r="C204" s="6">
        <v>1001.8</v>
      </c>
    </row>
    <row r="205" spans="1:3">
      <c r="A205" s="6">
        <v>404</v>
      </c>
      <c r="B205" s="6">
        <v>1002.224</v>
      </c>
      <c r="C205" s="6">
        <v>1002.224</v>
      </c>
    </row>
    <row r="206" spans="1:3">
      <c r="A206" s="6">
        <v>406</v>
      </c>
      <c r="B206" s="6">
        <v>1002.003</v>
      </c>
      <c r="C206" s="6">
        <v>1002.003</v>
      </c>
    </row>
    <row r="207" spans="1:3">
      <c r="A207" s="6">
        <v>408</v>
      </c>
      <c r="B207" s="6">
        <v>1003.596</v>
      </c>
      <c r="C207" s="6">
        <v>1003.596</v>
      </c>
    </row>
    <row r="208" spans="1:3">
      <c r="A208" s="6">
        <v>410</v>
      </c>
      <c r="B208" s="6">
        <v>994.11099999999999</v>
      </c>
      <c r="C208" s="6">
        <v>994.11099999999999</v>
      </c>
    </row>
    <row r="209" spans="1:3">
      <c r="A209" s="6">
        <v>412</v>
      </c>
      <c r="B209" s="6">
        <v>983.92499999999995</v>
      </c>
      <c r="C209" s="6">
        <v>983.92499999999995</v>
      </c>
    </row>
    <row r="210" spans="1:3">
      <c r="A210" s="6">
        <v>414</v>
      </c>
      <c r="B210" s="6">
        <v>972.34699999999998</v>
      </c>
      <c r="C210" s="6">
        <v>972.34699999999998</v>
      </c>
    </row>
    <row r="211" spans="1:3">
      <c r="A211" s="6">
        <v>416</v>
      </c>
      <c r="B211" s="6">
        <v>963.90099999999995</v>
      </c>
      <c r="C211" s="6">
        <v>963.90099999999995</v>
      </c>
    </row>
    <row r="212" spans="1:3">
      <c r="A212" s="6">
        <v>418</v>
      </c>
      <c r="B212" s="6">
        <v>963.25800000000004</v>
      </c>
      <c r="C212" s="6">
        <v>963.25800000000004</v>
      </c>
    </row>
    <row r="213" spans="1:3">
      <c r="A213" s="7">
        <v>420</v>
      </c>
      <c r="B213" s="7">
        <v>965.83600000000001</v>
      </c>
      <c r="C213" s="7">
        <v>965.87199999999996</v>
      </c>
    </row>
    <row r="214" spans="1:3">
      <c r="A214" s="6">
        <v>422</v>
      </c>
      <c r="B214" s="6">
        <v>966.30899999999997</v>
      </c>
      <c r="C214" s="6">
        <v>966.17700000000002</v>
      </c>
    </row>
    <row r="215" spans="1:3">
      <c r="A215" s="6">
        <v>424</v>
      </c>
      <c r="B215" s="6">
        <v>972.88400000000001</v>
      </c>
      <c r="C215" s="6">
        <v>973.82500000000005</v>
      </c>
    </row>
    <row r="216" spans="1:3">
      <c r="A216" s="6">
        <v>426</v>
      </c>
      <c r="B216" s="6">
        <v>983.97199999999998</v>
      </c>
      <c r="C216" s="6">
        <v>983.97199999999998</v>
      </c>
    </row>
    <row r="217" spans="1:3">
      <c r="A217" s="6">
        <v>428</v>
      </c>
      <c r="B217" s="6">
        <v>994.096</v>
      </c>
      <c r="C217" s="6">
        <v>994.096</v>
      </c>
    </row>
    <row r="218" spans="1:3">
      <c r="A218" s="6">
        <v>430</v>
      </c>
      <c r="B218" s="6">
        <v>991.69500000000005</v>
      </c>
      <c r="C218" s="6">
        <v>991.69500000000005</v>
      </c>
    </row>
    <row r="219" spans="1:3">
      <c r="A219" s="6">
        <v>432</v>
      </c>
      <c r="B219" s="9">
        <v>984.93299999999999</v>
      </c>
      <c r="C219" s="9">
        <v>984.93299999999999</v>
      </c>
    </row>
    <row r="220" spans="1:3">
      <c r="A220" s="6">
        <v>434</v>
      </c>
      <c r="B220" s="6">
        <v>978.18499999999995</v>
      </c>
      <c r="C220" s="6">
        <v>974.50900000000001</v>
      </c>
    </row>
    <row r="221" spans="1:3">
      <c r="A221" s="6">
        <v>436</v>
      </c>
      <c r="B221" s="6">
        <v>972.68600000000004</v>
      </c>
      <c r="C221" s="6">
        <v>966.69799999999998</v>
      </c>
    </row>
    <row r="222" spans="1:3">
      <c r="A222" s="6">
        <v>438</v>
      </c>
      <c r="B222" s="6">
        <v>966.82399999999996</v>
      </c>
      <c r="C222" s="6">
        <v>963.61800000000005</v>
      </c>
    </row>
    <row r="223" spans="1:3">
      <c r="A223" s="6">
        <v>440</v>
      </c>
      <c r="B223" s="6">
        <v>960.90200000000004</v>
      </c>
      <c r="C223" s="6">
        <v>957.803</v>
      </c>
    </row>
    <row r="224" spans="1:3">
      <c r="A224" s="6">
        <v>442</v>
      </c>
      <c r="B224" s="6">
        <v>952.92399999999998</v>
      </c>
      <c r="C224" s="6">
        <v>954.27700000000004</v>
      </c>
    </row>
    <row r="225" spans="1:3">
      <c r="A225" s="6">
        <v>444</v>
      </c>
      <c r="B225" s="6">
        <v>945.68299999999999</v>
      </c>
      <c r="C225" s="6">
        <v>947.18200000000002</v>
      </c>
    </row>
    <row r="226" spans="1:3">
      <c r="A226" s="6">
        <v>446</v>
      </c>
      <c r="B226" s="6">
        <v>941.04200000000003</v>
      </c>
      <c r="C226" s="6">
        <v>938.04499999999996</v>
      </c>
    </row>
    <row r="227" spans="1:3">
      <c r="A227" s="6">
        <v>448</v>
      </c>
      <c r="B227" s="6">
        <v>937.10400000000004</v>
      </c>
      <c r="C227" s="6">
        <v>930.87099999999998</v>
      </c>
    </row>
    <row r="228" spans="1:3">
      <c r="A228" s="6">
        <v>450</v>
      </c>
      <c r="B228" s="6">
        <v>939.94299999999998</v>
      </c>
      <c r="C228" s="6">
        <v>926.39099999999996</v>
      </c>
    </row>
    <row r="229" spans="1:3">
      <c r="A229" s="6">
        <v>452</v>
      </c>
      <c r="B229" s="6">
        <v>944.77599999999995</v>
      </c>
      <c r="C229" s="6">
        <v>918.34400000000005</v>
      </c>
    </row>
    <row r="230" spans="1:3">
      <c r="A230" s="6">
        <v>454</v>
      </c>
      <c r="B230" s="6">
        <v>947.76199999999994</v>
      </c>
      <c r="C230" s="6">
        <v>911.505</v>
      </c>
    </row>
    <row r="231" spans="1:3">
      <c r="A231" s="6">
        <v>456</v>
      </c>
      <c r="B231" s="6">
        <v>952.649</v>
      </c>
      <c r="C231" s="6">
        <v>903.61</v>
      </c>
    </row>
    <row r="232" spans="1:3">
      <c r="A232" s="6">
        <v>458</v>
      </c>
      <c r="B232" s="6">
        <v>954.55399999999997</v>
      </c>
      <c r="C232" s="6">
        <v>900.63</v>
      </c>
    </row>
    <row r="233" spans="1:3">
      <c r="A233" s="6">
        <v>460</v>
      </c>
      <c r="B233" s="6">
        <v>952.37</v>
      </c>
      <c r="C233" s="6">
        <v>904.06600000000003</v>
      </c>
    </row>
    <row r="234" spans="1:3">
      <c r="A234" s="6">
        <v>462</v>
      </c>
      <c r="B234" s="6">
        <v>947.55200000000002</v>
      </c>
      <c r="C234" s="6">
        <v>915.09199999999998</v>
      </c>
    </row>
    <row r="235" spans="1:3">
      <c r="A235" s="6">
        <v>464</v>
      </c>
      <c r="B235" s="6">
        <v>941.89800000000002</v>
      </c>
      <c r="C235" s="6">
        <v>905.55600000000004</v>
      </c>
    </row>
    <row r="236" spans="1:3">
      <c r="A236" s="6">
        <v>466</v>
      </c>
      <c r="B236" s="6">
        <v>940.52099999999996</v>
      </c>
      <c r="C236" s="6">
        <v>905.27099999999996</v>
      </c>
    </row>
    <row r="237" spans="1:3">
      <c r="A237" s="6">
        <v>468</v>
      </c>
      <c r="B237" s="6">
        <v>939.702</v>
      </c>
      <c r="C237" s="6">
        <v>901.91800000000001</v>
      </c>
    </row>
    <row r="238" spans="1:3">
      <c r="A238" s="6">
        <v>470</v>
      </c>
      <c r="B238" s="6">
        <v>937.14700000000005</v>
      </c>
      <c r="C238" s="6">
        <v>895.65099999999995</v>
      </c>
    </row>
    <row r="239" spans="1:3">
      <c r="A239" s="6">
        <v>472</v>
      </c>
      <c r="B239" s="6">
        <v>933.87199999999996</v>
      </c>
      <c r="C239" s="6">
        <v>892.30399999999997</v>
      </c>
    </row>
    <row r="240" spans="1:3">
      <c r="A240" s="6">
        <v>474</v>
      </c>
      <c r="B240" s="6">
        <v>933.18399999999997</v>
      </c>
      <c r="C240" s="6">
        <v>895.279</v>
      </c>
    </row>
    <row r="241" spans="1:3">
      <c r="A241" s="6">
        <v>476</v>
      </c>
      <c r="B241" s="6">
        <v>939.29200000000003</v>
      </c>
      <c r="C241" s="6">
        <v>896.81799999999998</v>
      </c>
    </row>
    <row r="242" spans="1:3">
      <c r="A242" s="6">
        <v>478</v>
      </c>
      <c r="B242" s="6">
        <v>944.61900000000003</v>
      </c>
      <c r="C242" s="6">
        <v>909.92100000000005</v>
      </c>
    </row>
    <row r="243" spans="1:3">
      <c r="A243" s="6">
        <v>480</v>
      </c>
      <c r="B243" s="6">
        <v>954.02300000000002</v>
      </c>
      <c r="C243" s="6">
        <v>926.29499999999996</v>
      </c>
    </row>
    <row r="244" spans="1:3">
      <c r="A244" s="6">
        <v>482</v>
      </c>
      <c r="B244" s="6">
        <v>968.26300000000003</v>
      </c>
      <c r="C244" s="6">
        <v>924.88800000000003</v>
      </c>
    </row>
    <row r="245" spans="1:3">
      <c r="A245" s="6">
        <v>484</v>
      </c>
      <c r="B245" s="6">
        <v>970.38400000000001</v>
      </c>
      <c r="C245" s="6">
        <v>919.04399999999998</v>
      </c>
    </row>
    <row r="246" spans="1:3">
      <c r="A246" s="6">
        <v>486</v>
      </c>
      <c r="B246" s="6">
        <v>964.63599999999997</v>
      </c>
      <c r="C246" s="6">
        <v>911.16399999999999</v>
      </c>
    </row>
    <row r="247" spans="1:3">
      <c r="A247" s="6">
        <v>488</v>
      </c>
      <c r="B247" s="6">
        <v>956.63099999999997</v>
      </c>
      <c r="C247" s="6">
        <v>903.89300000000003</v>
      </c>
    </row>
    <row r="248" spans="1:3">
      <c r="A248" s="6">
        <v>490</v>
      </c>
      <c r="B248" s="6">
        <v>947.42600000000004</v>
      </c>
      <c r="C248" s="6">
        <v>901.95299999999997</v>
      </c>
    </row>
    <row r="249" spans="1:3">
      <c r="A249" s="6">
        <v>492</v>
      </c>
      <c r="B249" s="6">
        <v>941.72</v>
      </c>
      <c r="C249" s="6">
        <v>900.19799999999998</v>
      </c>
    </row>
    <row r="250" spans="1:3">
      <c r="A250" s="6">
        <v>494</v>
      </c>
      <c r="B250" s="6">
        <v>935.98500000000001</v>
      </c>
      <c r="C250" s="6">
        <v>904.17700000000002</v>
      </c>
    </row>
    <row r="251" spans="1:3">
      <c r="A251" s="6">
        <v>496</v>
      </c>
      <c r="B251" s="6">
        <v>930.47500000000002</v>
      </c>
      <c r="C251" s="6">
        <v>912.25300000000004</v>
      </c>
    </row>
    <row r="252" spans="1:3">
      <c r="A252" s="6">
        <v>498</v>
      </c>
      <c r="B252" s="6">
        <v>927.61099999999999</v>
      </c>
      <c r="C252" s="6">
        <v>915.29700000000003</v>
      </c>
    </row>
    <row r="253" spans="1:3">
      <c r="A253" s="6">
        <v>500</v>
      </c>
      <c r="B253" s="6">
        <v>931.25599999999997</v>
      </c>
      <c r="C253" s="6">
        <v>919.62900000000002</v>
      </c>
    </row>
    <row r="254" spans="1:3">
      <c r="A254" s="6">
        <v>502</v>
      </c>
      <c r="B254" s="6">
        <v>920.04399999999998</v>
      </c>
      <c r="C254" s="8"/>
    </row>
    <row r="255" spans="1:3">
      <c r="A255" s="6">
        <v>504</v>
      </c>
      <c r="B255" s="6">
        <v>911.78</v>
      </c>
      <c r="C255" s="8"/>
    </row>
    <row r="256" spans="1:3">
      <c r="A256" s="6">
        <v>506</v>
      </c>
      <c r="B256" s="6">
        <v>907.98900000000003</v>
      </c>
      <c r="C256" s="8"/>
    </row>
    <row r="257" spans="1:4">
      <c r="A257" s="6">
        <v>508</v>
      </c>
      <c r="B257" s="6">
        <v>907.28899999999999</v>
      </c>
      <c r="C257" s="8"/>
    </row>
    <row r="258" spans="1:4">
      <c r="A258" s="6">
        <v>510</v>
      </c>
      <c r="B258" s="6">
        <v>900.577</v>
      </c>
      <c r="C258" s="8"/>
    </row>
    <row r="259" spans="1:4">
      <c r="A259" s="6">
        <v>512</v>
      </c>
      <c r="B259" s="6">
        <v>902.11199999999997</v>
      </c>
      <c r="C259" s="8"/>
    </row>
    <row r="260" spans="1:4">
      <c r="A260" s="6">
        <v>514</v>
      </c>
      <c r="B260" s="6">
        <v>900.17899999999997</v>
      </c>
      <c r="C260" s="8"/>
    </row>
    <row r="261" spans="1:4">
      <c r="A261" s="6">
        <v>516</v>
      </c>
      <c r="B261" s="6">
        <v>903.81100000000004</v>
      </c>
      <c r="C261" s="8"/>
    </row>
    <row r="262" spans="1:4">
      <c r="A262" s="6">
        <v>518</v>
      </c>
      <c r="B262" s="6">
        <v>910.02700000000004</v>
      </c>
      <c r="C262" s="8"/>
    </row>
    <row r="263" spans="1:4">
      <c r="A263" s="6">
        <v>520</v>
      </c>
      <c r="B263" s="6">
        <v>911.13099999999997</v>
      </c>
      <c r="C263" s="8"/>
      <c r="D263" s="5" t="s">
        <v>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C25" sqref="C25"/>
    </sheetView>
  </sheetViews>
  <sheetFormatPr defaultRowHeight="15"/>
  <cols>
    <col min="1" max="1" width="30.5703125" bestFit="1" customWidth="1"/>
    <col min="2" max="2" width="12" bestFit="1" customWidth="1"/>
  </cols>
  <sheetData>
    <row r="1" spans="1:3" ht="17.25">
      <c r="A1" s="16" t="s">
        <v>7</v>
      </c>
      <c r="B1" s="15">
        <v>100</v>
      </c>
      <c r="C1" s="15" t="s">
        <v>8</v>
      </c>
    </row>
    <row r="2" spans="1:3">
      <c r="A2" s="16" t="s">
        <v>9</v>
      </c>
      <c r="B2" s="15">
        <v>365</v>
      </c>
      <c r="C2" s="15"/>
    </row>
    <row r="3" spans="1:3">
      <c r="A3" s="16" t="s">
        <v>10</v>
      </c>
      <c r="B3" s="15">
        <v>24</v>
      </c>
      <c r="C3" s="15"/>
    </row>
    <row r="4" spans="1:3" ht="18">
      <c r="A4" s="16" t="s">
        <v>51</v>
      </c>
      <c r="B4" s="15">
        <v>1.052</v>
      </c>
      <c r="C4" s="15"/>
    </row>
    <row r="5" spans="1:3">
      <c r="A5" s="16" t="s">
        <v>52</v>
      </c>
      <c r="B5" s="15">
        <v>1.02</v>
      </c>
      <c r="C5" s="15"/>
    </row>
    <row r="6" spans="1:3" ht="18">
      <c r="A6" s="16" t="s">
        <v>53</v>
      </c>
      <c r="B6" s="15">
        <v>1.2</v>
      </c>
      <c r="C6" s="15"/>
    </row>
    <row r="7" spans="1:3" ht="17.25">
      <c r="A7" s="16" t="s">
        <v>11</v>
      </c>
      <c r="B7" s="20">
        <f>B1/B2/B3/60/60*B4*B5*B6*1000^2</f>
        <v>4.0831050228310497</v>
      </c>
      <c r="C7" s="15" t="s">
        <v>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P14" sqref="P14"/>
    </sheetView>
  </sheetViews>
  <sheetFormatPr defaultRowHeight="15"/>
  <cols>
    <col min="1" max="1" width="19.5703125" style="57" bestFit="1" customWidth="1"/>
    <col min="2" max="16384" width="9.140625" style="57"/>
  </cols>
  <sheetData>
    <row r="1" spans="1:3">
      <c r="A1" s="75" t="s">
        <v>26</v>
      </c>
      <c r="B1" s="75"/>
    </row>
    <row r="2" spans="1:3" ht="18">
      <c r="A2" s="58" t="s">
        <v>22</v>
      </c>
      <c r="B2" s="59">
        <v>0.03</v>
      </c>
    </row>
    <row r="3" spans="1:3" ht="18">
      <c r="A3" s="58" t="s">
        <v>23</v>
      </c>
      <c r="B3" s="59">
        <v>0.06</v>
      </c>
    </row>
    <row r="4" spans="1:3" ht="18">
      <c r="A4" s="58" t="s">
        <v>24</v>
      </c>
      <c r="B4" s="59">
        <v>0.15</v>
      </c>
    </row>
    <row r="5" spans="1:3" ht="18">
      <c r="A5" s="58" t="s">
        <v>25</v>
      </c>
      <c r="B5" s="59">
        <v>0.5</v>
      </c>
    </row>
    <row r="7" spans="1:3" ht="17.25">
      <c r="A7" s="14" t="s">
        <v>28</v>
      </c>
      <c r="B7" s="60">
        <v>1.13E-6</v>
      </c>
      <c r="C7" s="58" t="s">
        <v>29</v>
      </c>
    </row>
    <row r="9" spans="1:3">
      <c r="A9" s="14" t="s">
        <v>30</v>
      </c>
      <c r="B9" s="59">
        <v>150</v>
      </c>
    </row>
    <row r="11" spans="1:3">
      <c r="A11" s="61" t="s">
        <v>59</v>
      </c>
      <c r="B11" s="59" t="s">
        <v>60</v>
      </c>
      <c r="C11" s="58"/>
    </row>
    <row r="12" spans="1:3">
      <c r="A12" s="61" t="s">
        <v>61</v>
      </c>
      <c r="B12" s="59">
        <v>300</v>
      </c>
      <c r="C12" s="58" t="s">
        <v>62</v>
      </c>
    </row>
    <row r="13" spans="1:3">
      <c r="A13" s="61" t="s">
        <v>63</v>
      </c>
      <c r="B13" s="62">
        <v>0.5</v>
      </c>
      <c r="C13" s="58"/>
    </row>
    <row r="14" spans="1:3">
      <c r="A14" s="61" t="s">
        <v>64</v>
      </c>
      <c r="B14" s="59">
        <v>160</v>
      </c>
      <c r="C14" s="58" t="s">
        <v>66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255"/>
  <sheetViews>
    <sheetView workbookViewId="0">
      <selection activeCell="E1" sqref="E1:Q1"/>
    </sheetView>
  </sheetViews>
  <sheetFormatPr defaultRowHeight="15"/>
  <cols>
    <col min="1" max="2" width="16" style="11" customWidth="1"/>
    <col min="3" max="3" width="19.28515625" style="11" bestFit="1" customWidth="1"/>
    <col min="4" max="4" width="17.42578125" style="11" bestFit="1" customWidth="1"/>
    <col min="5" max="5" width="12.85546875" style="11" bestFit="1" customWidth="1"/>
    <col min="6" max="6" width="14.140625" style="11" bestFit="1" customWidth="1"/>
    <col min="7" max="7" width="13.140625" style="11" bestFit="1" customWidth="1"/>
    <col min="8" max="8" width="19.140625" style="11" bestFit="1" customWidth="1"/>
    <col min="9" max="9" width="13.140625" style="11" bestFit="1" customWidth="1"/>
    <col min="10" max="10" width="16.140625" style="11" bestFit="1" customWidth="1"/>
    <col min="11" max="11" width="18.140625" style="11" bestFit="1" customWidth="1"/>
    <col min="12" max="12" width="9.85546875" style="11" bestFit="1" customWidth="1"/>
    <col min="13" max="13" width="25.42578125" style="11" bestFit="1" customWidth="1"/>
    <col min="14" max="14" width="19.5703125" style="11" customWidth="1"/>
    <col min="15" max="15" width="19.28515625" style="11" bestFit="1" customWidth="1"/>
    <col min="16" max="16" width="24.28515625" style="11" bestFit="1" customWidth="1"/>
    <col min="17" max="17" width="25.28515625" style="11" bestFit="1" customWidth="1"/>
    <col min="18" max="18" width="13.85546875" style="11" customWidth="1"/>
    <col min="19" max="19" width="12" style="11" bestFit="1" customWidth="1"/>
    <col min="20" max="20" width="11" style="11" bestFit="1" customWidth="1"/>
    <col min="21" max="21" width="12" style="11" bestFit="1" customWidth="1"/>
    <col min="22" max="22" width="17.7109375" style="11" bestFit="1" customWidth="1"/>
    <col min="23" max="23" width="17.7109375" style="11" customWidth="1"/>
    <col min="24" max="26" width="12" style="11" bestFit="1" customWidth="1"/>
    <col min="27" max="27" width="11" style="11" bestFit="1" customWidth="1"/>
    <col min="28" max="28" width="12" style="11" bestFit="1" customWidth="1"/>
    <col min="29" max="29" width="17.7109375" style="11" bestFit="1" customWidth="1"/>
    <col min="30" max="30" width="17.42578125" style="11" bestFit="1" customWidth="1"/>
    <col min="31" max="31" width="12" style="11" customWidth="1"/>
    <col min="32" max="33" width="12" style="11" bestFit="1" customWidth="1"/>
    <col min="34" max="34" width="11" style="11" bestFit="1" customWidth="1"/>
    <col min="35" max="35" width="12" style="11" bestFit="1" customWidth="1"/>
    <col min="36" max="36" width="17.7109375" style="11" bestFit="1" customWidth="1"/>
    <col min="37" max="37" width="17.42578125" style="11" bestFit="1" customWidth="1"/>
    <col min="38" max="38" width="12" style="11" bestFit="1" customWidth="1"/>
    <col min="39" max="40" width="12" style="11" customWidth="1"/>
    <col min="41" max="41" width="11" style="11" bestFit="1" customWidth="1"/>
    <col min="42" max="42" width="12" style="11" customWidth="1"/>
    <col min="43" max="43" width="17.7109375" style="11" bestFit="1" customWidth="1"/>
    <col min="44" max="44" width="17.42578125" style="11" bestFit="1" customWidth="1"/>
    <col min="45" max="45" width="12" style="11" customWidth="1"/>
    <col min="46" max="16384" width="9.140625" style="11"/>
  </cols>
  <sheetData>
    <row r="1" spans="1:45" ht="15.75" thickBot="1">
      <c r="A1" s="79" t="s">
        <v>92</v>
      </c>
      <c r="B1" s="79"/>
      <c r="C1" s="79"/>
      <c r="D1" s="80"/>
      <c r="E1" s="76" t="str">
        <f>A1</f>
        <v>Option 4B</v>
      </c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8"/>
      <c r="R1" s="76" t="str">
        <f>A1</f>
        <v>Option 4B</v>
      </c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8"/>
    </row>
    <row r="2" spans="1:45">
      <c r="A2" s="81" t="s">
        <v>13</v>
      </c>
      <c r="B2" s="82"/>
      <c r="C2" s="82"/>
      <c r="D2" s="83"/>
      <c r="E2" s="84" t="s">
        <v>14</v>
      </c>
      <c r="F2" s="85"/>
      <c r="G2" s="85"/>
      <c r="H2" s="85"/>
      <c r="I2" s="85"/>
      <c r="J2" s="85"/>
      <c r="K2" s="85"/>
      <c r="L2" s="85"/>
      <c r="M2" s="85"/>
      <c r="N2" s="86"/>
      <c r="O2" s="84" t="s">
        <v>57</v>
      </c>
      <c r="P2" s="85"/>
      <c r="Q2" s="86"/>
      <c r="R2" s="52" t="s">
        <v>50</v>
      </c>
      <c r="S2" s="32"/>
      <c r="T2" s="32"/>
      <c r="U2" s="32"/>
      <c r="V2" s="32"/>
      <c r="W2" s="32"/>
      <c r="X2" s="33"/>
      <c r="Y2" s="87" t="s">
        <v>47</v>
      </c>
      <c r="Z2" s="88"/>
      <c r="AA2" s="88"/>
      <c r="AB2" s="88"/>
      <c r="AC2" s="88"/>
      <c r="AD2" s="88"/>
      <c r="AE2" s="89"/>
      <c r="AF2" s="52" t="s">
        <v>48</v>
      </c>
      <c r="AG2" s="32"/>
      <c r="AH2" s="32"/>
      <c r="AI2" s="32"/>
      <c r="AJ2" s="32"/>
      <c r="AK2" s="32"/>
      <c r="AL2" s="33"/>
      <c r="AM2" s="87" t="s">
        <v>49</v>
      </c>
      <c r="AN2" s="88"/>
      <c r="AO2" s="88"/>
      <c r="AP2" s="88"/>
      <c r="AQ2" s="88"/>
      <c r="AR2" s="88"/>
      <c r="AS2" s="89"/>
    </row>
    <row r="3" spans="1:45" ht="18">
      <c r="A3" s="46" t="s">
        <v>15</v>
      </c>
      <c r="B3" s="17" t="s">
        <v>17</v>
      </c>
      <c r="C3" s="17" t="s">
        <v>18</v>
      </c>
      <c r="D3" s="29" t="s">
        <v>31</v>
      </c>
      <c r="E3" s="21" t="s">
        <v>54</v>
      </c>
      <c r="F3" s="13" t="s">
        <v>17</v>
      </c>
      <c r="G3" s="13" t="s">
        <v>18</v>
      </c>
      <c r="H3" s="13" t="s">
        <v>43</v>
      </c>
      <c r="I3" s="13" t="s">
        <v>20</v>
      </c>
      <c r="J3" s="13" t="s">
        <v>39</v>
      </c>
      <c r="K3" s="13" t="s">
        <v>21</v>
      </c>
      <c r="L3" s="17" t="s">
        <v>27</v>
      </c>
      <c r="M3" s="31" t="s">
        <v>32</v>
      </c>
      <c r="N3" s="29" t="s">
        <v>55</v>
      </c>
      <c r="O3" s="46" t="s">
        <v>58</v>
      </c>
      <c r="P3" s="17" t="s">
        <v>65</v>
      </c>
      <c r="Q3" s="29" t="s">
        <v>67</v>
      </c>
      <c r="R3" s="28" t="s">
        <v>34</v>
      </c>
      <c r="S3" s="17" t="s">
        <v>44</v>
      </c>
      <c r="T3" s="17" t="s">
        <v>45</v>
      </c>
      <c r="U3" s="17" t="s">
        <v>46</v>
      </c>
      <c r="V3" s="17" t="s">
        <v>33</v>
      </c>
      <c r="W3" s="31" t="s">
        <v>55</v>
      </c>
      <c r="X3" s="29" t="s">
        <v>42</v>
      </c>
      <c r="Y3" s="28" t="s">
        <v>34</v>
      </c>
      <c r="Z3" s="17" t="s">
        <v>44</v>
      </c>
      <c r="AA3" s="17" t="s">
        <v>45</v>
      </c>
      <c r="AB3" s="17" t="s">
        <v>46</v>
      </c>
      <c r="AC3" s="17" t="s">
        <v>33</v>
      </c>
      <c r="AD3" s="17" t="s">
        <v>55</v>
      </c>
      <c r="AE3" s="29" t="s">
        <v>42</v>
      </c>
      <c r="AF3" s="28" t="s">
        <v>34</v>
      </c>
      <c r="AG3" s="17" t="s">
        <v>44</v>
      </c>
      <c r="AH3" s="17" t="s">
        <v>45</v>
      </c>
      <c r="AI3" s="17" t="s">
        <v>46</v>
      </c>
      <c r="AJ3" s="17" t="s">
        <v>33</v>
      </c>
      <c r="AK3" s="31" t="s">
        <v>55</v>
      </c>
      <c r="AL3" s="29" t="s">
        <v>42</v>
      </c>
      <c r="AM3" s="28" t="s">
        <v>34</v>
      </c>
      <c r="AN3" s="17" t="s">
        <v>44</v>
      </c>
      <c r="AO3" s="17" t="s">
        <v>45</v>
      </c>
      <c r="AP3" s="17" t="s">
        <v>46</v>
      </c>
      <c r="AQ3" s="17" t="s">
        <v>33</v>
      </c>
      <c r="AR3" s="17" t="s">
        <v>55</v>
      </c>
      <c r="AS3" s="29" t="s">
        <v>42</v>
      </c>
    </row>
    <row r="4" spans="1:45">
      <c r="A4" s="40" t="s">
        <v>56</v>
      </c>
      <c r="B4" s="18">
        <v>8</v>
      </c>
      <c r="C4" s="12">
        <f>IF(B4&gt;0,VLOOKUP(B4,$F$4:$G$253,2),"")</f>
        <v>1063.8320000000001</v>
      </c>
      <c r="D4" s="41">
        <v>50</v>
      </c>
      <c r="E4" s="35" t="str">
        <f t="shared" ref="E4:E67" si="0">IF(OR(F4=$B$11,F4=$B$12,F4=$B$13,F4=$B$14,F4=$B$15),"Reservoir",IF(OR(F4=$B$4,F4=$B$5,F4=$B$6),"Pump Station",""))</f>
        <v>Reservoir</v>
      </c>
      <c r="F4" s="19">
        <f>'Profile data'!A4</f>
        <v>2</v>
      </c>
      <c r="G4" s="19">
        <f>VLOOKUP(F4,'Profile data'!A4:C263,IF($B$22="Botswana 1",2,3))</f>
        <v>1069.018</v>
      </c>
      <c r="H4" s="19">
        <v>0</v>
      </c>
      <c r="I4" s="19">
        <v>1.9</v>
      </c>
      <c r="J4" s="36">
        <f>'Flow Rate Calculations'!$B$7</f>
        <v>4.0831050228310497</v>
      </c>
      <c r="K4" s="36">
        <f>J4/I4^2/PI()*4</f>
        <v>1.440102709245225</v>
      </c>
      <c r="L4" s="37">
        <f>$I4*$K4/'Calculation Constants'!$B$7</f>
        <v>2421411.6350140949</v>
      </c>
      <c r="M4" s="37">
        <f t="shared" ref="M4:M67" si="1">IF(X4&gt;VLOOKUP(F4,$B$11:$D$15,2),"Greater Dynamic Pressures",VLOOKUP(F4,$B$11:$C$15,2)-G4)</f>
        <v>10</v>
      </c>
      <c r="N4" s="23">
        <f>W4</f>
        <v>10</v>
      </c>
      <c r="O4" s="54">
        <f t="shared" ref="O4:O67" si="2">MAX(M4,AD4)</f>
        <v>10</v>
      </c>
      <c r="P4" s="63">
        <f>MAX(I4*1000/'Calculation Constants'!$B$14,O4*10*I4*1000/2/('Calculation Constants'!$B$12*1000*'Calculation Constants'!$B$13))</f>
        <v>11.875</v>
      </c>
      <c r="Q4" s="66">
        <f t="shared" ref="Q4:Q67" si="3">(I4^2*PI()/4-(I4-P4/1000*2)^2*PI()/4)*H4*1000*7850</f>
        <v>0</v>
      </c>
      <c r="R4" s="27">
        <f>(1/(2*LOG(3.7*$I4/'Calculation Constants'!$B$2*1000)))^2</f>
        <v>8.6699836115820689E-3</v>
      </c>
      <c r="S4" s="19" t="str">
        <f>IF($H4&gt;0,R4*$H4*$K4^2/2/9.81/$I4*1000,"")</f>
        <v/>
      </c>
      <c r="T4" s="19" t="str">
        <f>IF($H4&gt;0,'Calculation Constants'!$B$9*Hydraulics!$K4^2/2/9.81/MAX($F$4:$F$253)*$H4,"")</f>
        <v/>
      </c>
      <c r="U4" s="19">
        <f>IF(S4="",0,S4+T4)</f>
        <v>0</v>
      </c>
      <c r="V4" s="19">
        <f t="shared" ref="V4:V67" si="4">IF($F4=$B$4,$D$4,(IF($F4=$B$5,$D$5,IF($F4=$B$6,$D$6,0))))</f>
        <v>0</v>
      </c>
      <c r="W4" s="19">
        <f t="shared" ref="W4:W67" si="5">IF(E4="Reservoir",VLOOKUP(F4,$B$11:$D$15,2)-G4,X4-$G4)</f>
        <v>10</v>
      </c>
      <c r="X4" s="23">
        <f t="shared" ref="X4:X67" si="6">IF($E4="Reservoir",VLOOKUP($F4,$B$11:$D$15,2)+V4,X3-U4+V4)</f>
        <v>1079.018</v>
      </c>
      <c r="Y4" s="22">
        <f>(1/(2*LOG(3.7*$I4/'Calculation Constants'!$B$3*1000)))^2</f>
        <v>9.7303620360708887E-3</v>
      </c>
      <c r="Z4" s="19" t="str">
        <f t="shared" ref="Z4:Z67" si="7">IF($H4&gt;0,Y4*$H4*$K4^2/2/9.81/$I4*1000,"")</f>
        <v/>
      </c>
      <c r="AA4" s="19" t="str">
        <f>IF($H4&gt;0,'Calculation Constants'!$B$9*Hydraulics!$K4^2/2/9.81/MAX($F$4:$F$253)*$H4,"")</f>
        <v/>
      </c>
      <c r="AB4" s="19">
        <f>IF(Z4="",0,Z4+AA4)</f>
        <v>0</v>
      </c>
      <c r="AC4" s="19">
        <f t="shared" ref="AC4:AC67" si="8">IF($F4=$B$4,$D$4,(IF($F4=$B$5,$D$5,IF($F4=$B$6,$D$6,0))))</f>
        <v>0</v>
      </c>
      <c r="AD4" s="19">
        <f>AE4-$G4</f>
        <v>10</v>
      </c>
      <c r="AE4" s="23">
        <f t="shared" ref="AE4:AE67" si="9">IF($E4="Reservoir",VLOOKUP($F4,$B$11:$D$15,2)+AC4,AE3-AB4+AC4)</f>
        <v>1079.018</v>
      </c>
      <c r="AF4" s="27">
        <f>(1/(2*LOG(3.7*$I4/'Calculation Constants'!$B$4*1000)))^2</f>
        <v>1.1458969193927592E-2</v>
      </c>
      <c r="AG4" s="19" t="str">
        <f t="shared" ref="AG4:AG67" si="10">IF($H4&gt;0,AF4*$H4*$K4^2/2/9.81/$I4*1000,"")</f>
        <v/>
      </c>
      <c r="AH4" s="19" t="str">
        <f>IF($H4&gt;0,'Calculation Constants'!$B$9*Hydraulics!$K4^2/2/9.81/MAX($F$4:$F$253)*$H4,"")</f>
        <v/>
      </c>
      <c r="AI4" s="19">
        <f>IF(AG4="",0,AG4+AH4)</f>
        <v>0</v>
      </c>
      <c r="AJ4" s="19">
        <f t="shared" ref="AJ4:AJ67" si="11">IF($F4=$B$4,$D$4,(IF($F4=$B$5,$D$5,IF($F4=$B$6,$D$6,0))))</f>
        <v>0</v>
      </c>
      <c r="AK4" s="19">
        <f>AL4-$G4</f>
        <v>10</v>
      </c>
      <c r="AL4" s="23">
        <f t="shared" ref="AL4:AL67" si="12">IF($E4="Reservoir",VLOOKUP($F4,$B$11:$D$15,2)+AJ4,AL3-AI4+AJ4)</f>
        <v>1079.018</v>
      </c>
      <c r="AM4" s="22">
        <f>(1/(2*LOG(3.7*($I4-0.008)/'Calculation Constants'!$B$5*1000)))^2</f>
        <v>1.4542845531075887E-2</v>
      </c>
      <c r="AN4" s="19" t="str">
        <f>IF($H4&gt;0,AM4*$H4*$K4^2/2/9.81/($I4-0.008)*1000,"")</f>
        <v/>
      </c>
      <c r="AO4" s="19" t="str">
        <f>IF($H4&gt;0,'Calculation Constants'!$B$9*Hydraulics!$K4^2/2/9.81/MAX($F$4:$F$253)*$H4,"")</f>
        <v/>
      </c>
      <c r="AP4" s="19">
        <f>IF(AN4="",0,AN4+AO4)</f>
        <v>0</v>
      </c>
      <c r="AQ4" s="19">
        <f t="shared" ref="AQ4:AQ67" si="13">IF($F4=$B$4,$D$4,(IF($F4=$B$5,$D$5,IF($F4=$B$6,$D$6,0))))</f>
        <v>0</v>
      </c>
      <c r="AR4" s="19">
        <f>AS4-$G4</f>
        <v>10</v>
      </c>
      <c r="AS4" s="23">
        <f t="shared" ref="AS4:AS67" si="14">IF($E4="Reservoir",VLOOKUP($F4,$B$11:$D$15,2)+AQ4,AS3-AP4+AQ4)</f>
        <v>1079.018</v>
      </c>
    </row>
    <row r="5" spans="1:45">
      <c r="A5" s="40" t="s">
        <v>86</v>
      </c>
      <c r="B5" s="18">
        <v>228</v>
      </c>
      <c r="C5" s="12">
        <f>IF(B5&gt;0,VLOOKUP(B5,$F$4:$G$253,2),"")</f>
        <v>913.48400000000004</v>
      </c>
      <c r="D5" s="41">
        <v>260</v>
      </c>
      <c r="E5" s="35" t="str">
        <f t="shared" si="0"/>
        <v/>
      </c>
      <c r="F5" s="19">
        <f>'Profile data'!A5</f>
        <v>4</v>
      </c>
      <c r="G5" s="19">
        <f>VLOOKUP(F5,'Profile data'!A5:C264,IF($B$22="Botswana 1",2,3))</f>
        <v>1067.3209999999999</v>
      </c>
      <c r="H5" s="19">
        <f>F5-F4</f>
        <v>2</v>
      </c>
      <c r="I5" s="19">
        <v>1.9</v>
      </c>
      <c r="J5" s="36">
        <f>'Flow Rate Calculations'!$B$7</f>
        <v>4.0831050228310497</v>
      </c>
      <c r="K5" s="36">
        <f t="shared" ref="K5:K68" si="15">J5/I5^2/PI()*4</f>
        <v>1.440102709245225</v>
      </c>
      <c r="L5" s="37">
        <f>$I5*$K5/'Calculation Constants'!$B$7</f>
        <v>2421411.6350140949</v>
      </c>
      <c r="M5" s="37">
        <f t="shared" si="1"/>
        <v>11.697000000000116</v>
      </c>
      <c r="N5" s="23">
        <f t="shared" ref="N5:N68" si="16">W5</f>
        <v>10.668899601595285</v>
      </c>
      <c r="O5" s="55">
        <f t="shared" si="2"/>
        <v>11.697000000000116</v>
      </c>
      <c r="P5" s="64">
        <f>MAX(I5*1000/'Calculation Constants'!$B$14,O5*10*I5*1000/2/('Calculation Constants'!$B$12*1000*'Calculation Constants'!$B$13))</f>
        <v>11.875</v>
      </c>
      <c r="Q5" s="66">
        <f t="shared" si="3"/>
        <v>1105894.9783427313</v>
      </c>
      <c r="R5" s="27">
        <f>(1/(2*LOG(3.7*$I5/'Calculation Constants'!$B$2*1000)))^2</f>
        <v>8.6699836115820689E-3</v>
      </c>
      <c r="S5" s="19">
        <f t="shared" ref="S5:S68" si="17">IF($H5&gt;0,R5*$H5*$K5^2/2/9.81/$I5*1000,"")</f>
        <v>0.96467850809376621</v>
      </c>
      <c r="T5" s="19">
        <f>IF($H5&gt;0,'Calculation Constants'!$B$9*Hydraulics!$K5^2/2/9.81/MAX($F$4:$F$253)*$H5,"")</f>
        <v>6.3421890311175441E-2</v>
      </c>
      <c r="U5" s="19">
        <f t="shared" ref="U5:U68" si="18">IF(S5="",0,S5+T5)</f>
        <v>1.0281003984049417</v>
      </c>
      <c r="V5" s="19">
        <f t="shared" si="4"/>
        <v>0</v>
      </c>
      <c r="W5" s="19">
        <f t="shared" si="5"/>
        <v>10.668899601595285</v>
      </c>
      <c r="X5" s="23">
        <f t="shared" si="6"/>
        <v>1077.9898996015952</v>
      </c>
      <c r="Y5" s="22">
        <f>(1/(2*LOG(3.7*$I5/'Calculation Constants'!$B$3*1000)))^2</f>
        <v>9.7303620360708887E-3</v>
      </c>
      <c r="Z5" s="19">
        <f t="shared" si="7"/>
        <v>1.0826630767363397</v>
      </c>
      <c r="AA5" s="19">
        <f>IF($H5&gt;0,'Calculation Constants'!$B$9*Hydraulics!$K5^2/2/9.81/MAX($F$4:$F$253)*$H5,"")</f>
        <v>6.3421890311175441E-2</v>
      </c>
      <c r="AB5" s="19">
        <f t="shared" ref="AB5:AB7" si="19">IF(Z5="",0,Z5+AA5)</f>
        <v>1.1460849670475151</v>
      </c>
      <c r="AC5" s="19">
        <f t="shared" si="8"/>
        <v>0</v>
      </c>
      <c r="AD5" s="19">
        <f t="shared" ref="AD5:AD68" si="20">AE5-$G5</f>
        <v>10.550915032952616</v>
      </c>
      <c r="AE5" s="23">
        <f t="shared" si="9"/>
        <v>1077.8719150329525</v>
      </c>
      <c r="AF5" s="27">
        <f>(1/(2*LOG(3.7*$I5/'Calculation Constants'!$B$4*1000)))^2</f>
        <v>1.1458969193927592E-2</v>
      </c>
      <c r="AG5" s="19">
        <f t="shared" si="10"/>
        <v>1.274999100520025</v>
      </c>
      <c r="AH5" s="19">
        <f>IF($H5&gt;0,'Calculation Constants'!$B$9*Hydraulics!$K5^2/2/9.81/MAX($F$4:$F$253)*$H5,"")</f>
        <v>6.3421890311175441E-2</v>
      </c>
      <c r="AI5" s="19">
        <f t="shared" ref="AI5:AI68" si="21">IF(AG5="",0,AG5+AH5)</f>
        <v>1.3384209908312004</v>
      </c>
      <c r="AJ5" s="19">
        <f t="shared" si="11"/>
        <v>0</v>
      </c>
      <c r="AK5" s="19">
        <f t="shared" ref="AK5:AK68" si="22">AL5-$G5</f>
        <v>10.358579009168807</v>
      </c>
      <c r="AL5" s="23">
        <f t="shared" si="12"/>
        <v>1077.6795790091687</v>
      </c>
      <c r="AM5" s="22">
        <f>(1/(2*LOG(3.7*($I5-0.008)/'Calculation Constants'!$B$5*1000)))^2</f>
        <v>1.4542845531075887E-2</v>
      </c>
      <c r="AN5" s="19">
        <f t="shared" ref="AN5:AN68" si="23">IF($H5&gt;0,AM5*$H5*$K5^2/2/9.81/($I5-0.008)*1000,"")</f>
        <v>1.6249731396833385</v>
      </c>
      <c r="AO5" s="19">
        <f>IF($H5&gt;0,'Calculation Constants'!$B$9*Hydraulics!$K5^2/2/9.81/MAX($F$4:$F$253)*$H5,"")</f>
        <v>6.3421890311175441E-2</v>
      </c>
      <c r="AP5" s="19">
        <f t="shared" ref="AP5:AP68" si="24">IF(AN5="",0,AN5+AO5)</f>
        <v>1.6883950299945139</v>
      </c>
      <c r="AQ5" s="19">
        <f t="shared" si="13"/>
        <v>0</v>
      </c>
      <c r="AR5" s="19">
        <f t="shared" ref="AR5:AR68" si="25">AS5-$G5</f>
        <v>10.008604970005536</v>
      </c>
      <c r="AS5" s="23">
        <f t="shared" si="14"/>
        <v>1077.3296049700054</v>
      </c>
    </row>
    <row r="6" spans="1:45" ht="15.75" thickBot="1">
      <c r="A6" s="42"/>
      <c r="B6" s="43"/>
      <c r="C6" s="44" t="str">
        <f>IF(B6&gt;0,VLOOKUP(B6,$F$4:$G$253,2),"")</f>
        <v/>
      </c>
      <c r="D6" s="45"/>
      <c r="E6" s="35" t="str">
        <f t="shared" si="0"/>
        <v/>
      </c>
      <c r="F6" s="19">
        <f>'Profile data'!A6</f>
        <v>6</v>
      </c>
      <c r="G6" s="19">
        <f>VLOOKUP(F6,'Profile data'!A6:C265,IF($B$22="Botswana 1",2,3))</f>
        <v>1064.0350000000001</v>
      </c>
      <c r="H6" s="19">
        <f t="shared" ref="H6:H69" si="26">F6-F5</f>
        <v>2</v>
      </c>
      <c r="I6" s="19">
        <v>1.9</v>
      </c>
      <c r="J6" s="36">
        <f>'Flow Rate Calculations'!$B$7</f>
        <v>4.0831050228310497</v>
      </c>
      <c r="K6" s="36">
        <f t="shared" si="15"/>
        <v>1.440102709245225</v>
      </c>
      <c r="L6" s="37">
        <f>$I6*$K6/'Calculation Constants'!$B$7</f>
        <v>2421411.6350140949</v>
      </c>
      <c r="M6" s="37">
        <f t="shared" si="1"/>
        <v>14.982999999999947</v>
      </c>
      <c r="N6" s="23">
        <f t="shared" si="16"/>
        <v>12.926799203190285</v>
      </c>
      <c r="O6" s="55">
        <f t="shared" si="2"/>
        <v>14.982999999999947</v>
      </c>
      <c r="P6" s="64">
        <f>MAX(I6*1000/'Calculation Constants'!$B$14,O6*10*I6*1000/2/('Calculation Constants'!$B$12*1000*'Calculation Constants'!$B$13))</f>
        <v>11.875</v>
      </c>
      <c r="Q6" s="66">
        <f t="shared" si="3"/>
        <v>1105894.9783427313</v>
      </c>
      <c r="R6" s="27">
        <f>(1/(2*LOG(3.7*$I6/'Calculation Constants'!$B$2*1000)))^2</f>
        <v>8.6699836115820689E-3</v>
      </c>
      <c r="S6" s="19">
        <f t="shared" si="17"/>
        <v>0.96467850809376621</v>
      </c>
      <c r="T6" s="19">
        <f>IF($H6&gt;0,'Calculation Constants'!$B$9*Hydraulics!$K6^2/2/9.81/MAX($F$4:$F$253)*$H6,"")</f>
        <v>6.3421890311175441E-2</v>
      </c>
      <c r="U6" s="19">
        <f t="shared" si="18"/>
        <v>1.0281003984049417</v>
      </c>
      <c r="V6" s="19">
        <f t="shared" si="4"/>
        <v>0</v>
      </c>
      <c r="W6" s="19">
        <f t="shared" si="5"/>
        <v>12.926799203190285</v>
      </c>
      <c r="X6" s="23">
        <f t="shared" si="6"/>
        <v>1076.9617992031904</v>
      </c>
      <c r="Y6" s="22">
        <f>(1/(2*LOG(3.7*$I6/'Calculation Constants'!$B$3*1000)))^2</f>
        <v>9.7303620360708887E-3</v>
      </c>
      <c r="Z6" s="19">
        <f t="shared" si="7"/>
        <v>1.0826630767363397</v>
      </c>
      <c r="AA6" s="19">
        <f>IF($H6&gt;0,'Calculation Constants'!$B$9*Hydraulics!$K6^2/2/9.81/MAX($F$4:$F$253)*$H6,"")</f>
        <v>6.3421890311175441E-2</v>
      </c>
      <c r="AB6" s="19">
        <f t="shared" si="19"/>
        <v>1.1460849670475151</v>
      </c>
      <c r="AC6" s="19">
        <f t="shared" si="8"/>
        <v>0</v>
      </c>
      <c r="AD6" s="19">
        <f t="shared" si="20"/>
        <v>12.690830065904947</v>
      </c>
      <c r="AE6" s="23">
        <f t="shared" si="9"/>
        <v>1076.725830065905</v>
      </c>
      <c r="AF6" s="27">
        <f>(1/(2*LOG(3.7*$I6/'Calculation Constants'!$B$4*1000)))^2</f>
        <v>1.1458969193927592E-2</v>
      </c>
      <c r="AG6" s="19">
        <f t="shared" si="10"/>
        <v>1.274999100520025</v>
      </c>
      <c r="AH6" s="19">
        <f>IF($H6&gt;0,'Calculation Constants'!$B$9*Hydraulics!$K6^2/2/9.81/MAX($F$4:$F$253)*$H6,"")</f>
        <v>6.3421890311175441E-2</v>
      </c>
      <c r="AI6" s="19">
        <f t="shared" si="21"/>
        <v>1.3384209908312004</v>
      </c>
      <c r="AJ6" s="19">
        <f t="shared" si="11"/>
        <v>0</v>
      </c>
      <c r="AK6" s="19">
        <f t="shared" si="22"/>
        <v>12.306158018337328</v>
      </c>
      <c r="AL6" s="23">
        <f t="shared" si="12"/>
        <v>1076.3411580183374</v>
      </c>
      <c r="AM6" s="22">
        <f>(1/(2*LOG(3.7*($I6-0.008)/'Calculation Constants'!$B$5*1000)))^2</f>
        <v>1.4542845531075887E-2</v>
      </c>
      <c r="AN6" s="19">
        <f t="shared" si="23"/>
        <v>1.6249731396833385</v>
      </c>
      <c r="AO6" s="19">
        <f>IF($H6&gt;0,'Calculation Constants'!$B$9*Hydraulics!$K6^2/2/9.81/MAX($F$4:$F$253)*$H6,"")</f>
        <v>6.3421890311175441E-2</v>
      </c>
      <c r="AP6" s="19">
        <f t="shared" si="24"/>
        <v>1.6883950299945139</v>
      </c>
      <c r="AQ6" s="19">
        <f t="shared" si="13"/>
        <v>0</v>
      </c>
      <c r="AR6" s="19">
        <f t="shared" si="25"/>
        <v>11.606209940010785</v>
      </c>
      <c r="AS6" s="23">
        <f t="shared" si="14"/>
        <v>1075.6412099400109</v>
      </c>
    </row>
    <row r="7" spans="1:45">
      <c r="E7" s="35" t="str">
        <f t="shared" si="0"/>
        <v>Pump Station</v>
      </c>
      <c r="F7" s="19">
        <f>'Profile data'!A7</f>
        <v>8</v>
      </c>
      <c r="G7" s="19">
        <f>VLOOKUP(F7,'Profile data'!A7:C266,IF($B$22="Botswana 1",2,3))</f>
        <v>1063.8320000000001</v>
      </c>
      <c r="H7" s="19">
        <f t="shared" si="26"/>
        <v>2</v>
      </c>
      <c r="I7" s="19">
        <v>1.9</v>
      </c>
      <c r="J7" s="36">
        <f>'Flow Rate Calculations'!$B$7</f>
        <v>4.0831050228310497</v>
      </c>
      <c r="K7" s="36">
        <f t="shared" si="15"/>
        <v>1.440102709245225</v>
      </c>
      <c r="L7" s="37">
        <f>$I7*$K7/'Calculation Constants'!$B$7</f>
        <v>2421411.6350140949</v>
      </c>
      <c r="M7" s="37" t="str">
        <f t="shared" si="1"/>
        <v>Greater Dynamic Pressures</v>
      </c>
      <c r="N7" s="23">
        <f t="shared" si="16"/>
        <v>62.101698804785428</v>
      </c>
      <c r="O7" s="55">
        <f t="shared" si="2"/>
        <v>61.747745098857422</v>
      </c>
      <c r="P7" s="64">
        <f>MAX(I7*1000/'Calculation Constants'!$B$14,O7*10*I7*1000/2/('Calculation Constants'!$B$12*1000*'Calculation Constants'!$B$13))</f>
        <v>11.875</v>
      </c>
      <c r="Q7" s="66">
        <f t="shared" si="3"/>
        <v>1105894.9783427313</v>
      </c>
      <c r="R7" s="27">
        <f>(1/(2*LOG(3.7*$I7/'Calculation Constants'!$B$2*1000)))^2</f>
        <v>8.6699836115820689E-3</v>
      </c>
      <c r="S7" s="19">
        <f t="shared" si="17"/>
        <v>0.96467850809376621</v>
      </c>
      <c r="T7" s="19">
        <f>IF($H7&gt;0,'Calculation Constants'!$B$9*Hydraulics!$K7^2/2/9.81/MAX($F$4:$F$253)*$H7,"")</f>
        <v>6.3421890311175441E-2</v>
      </c>
      <c r="U7" s="19">
        <f t="shared" si="18"/>
        <v>1.0281003984049417</v>
      </c>
      <c r="V7" s="19">
        <f t="shared" si="4"/>
        <v>50</v>
      </c>
      <c r="W7" s="19">
        <f t="shared" si="5"/>
        <v>62.101698804785428</v>
      </c>
      <c r="X7" s="23">
        <f t="shared" si="6"/>
        <v>1125.9336988047855</v>
      </c>
      <c r="Y7" s="22">
        <f>(1/(2*LOG(3.7*$I7/'Calculation Constants'!$B$3*1000)))^2</f>
        <v>9.7303620360708887E-3</v>
      </c>
      <c r="Z7" s="19">
        <f t="shared" si="7"/>
        <v>1.0826630767363397</v>
      </c>
      <c r="AA7" s="19">
        <f>IF($H7&gt;0,'Calculation Constants'!$B$9*Hydraulics!$K7^2/2/9.81/MAX($F$4:$F$253)*$H7,"")</f>
        <v>6.3421890311175441E-2</v>
      </c>
      <c r="AB7" s="19">
        <f t="shared" si="19"/>
        <v>1.1460849670475151</v>
      </c>
      <c r="AC7" s="19">
        <f t="shared" si="8"/>
        <v>50</v>
      </c>
      <c r="AD7" s="19">
        <f t="shared" si="20"/>
        <v>61.747745098857422</v>
      </c>
      <c r="AE7" s="23">
        <f t="shared" si="9"/>
        <v>1125.5797450988575</v>
      </c>
      <c r="AF7" s="27">
        <f>(1/(2*LOG(3.7*$I7/'Calculation Constants'!$B$4*1000)))^2</f>
        <v>1.1458969193927592E-2</v>
      </c>
      <c r="AG7" s="19">
        <f t="shared" si="10"/>
        <v>1.274999100520025</v>
      </c>
      <c r="AH7" s="19">
        <f>IF($H7&gt;0,'Calculation Constants'!$B$9*Hydraulics!$K7^2/2/9.81/MAX($F$4:$F$253)*$H7,"")</f>
        <v>6.3421890311175441E-2</v>
      </c>
      <c r="AI7" s="19">
        <f t="shared" si="21"/>
        <v>1.3384209908312004</v>
      </c>
      <c r="AJ7" s="19">
        <f t="shared" si="11"/>
        <v>50</v>
      </c>
      <c r="AK7" s="19">
        <f t="shared" si="22"/>
        <v>61.170737027505993</v>
      </c>
      <c r="AL7" s="23">
        <f t="shared" si="12"/>
        <v>1125.0027370275061</v>
      </c>
      <c r="AM7" s="22">
        <f>(1/(2*LOG(3.7*($I7-0.008)/'Calculation Constants'!$B$5*1000)))^2</f>
        <v>1.4542845531075887E-2</v>
      </c>
      <c r="AN7" s="19">
        <f t="shared" si="23"/>
        <v>1.6249731396833385</v>
      </c>
      <c r="AO7" s="19">
        <f>IF($H7&gt;0,'Calculation Constants'!$B$9*Hydraulics!$K7^2/2/9.81/MAX($F$4:$F$253)*$H7,"")</f>
        <v>6.3421890311175441E-2</v>
      </c>
      <c r="AP7" s="19">
        <f t="shared" si="24"/>
        <v>1.6883950299945139</v>
      </c>
      <c r="AQ7" s="19">
        <f t="shared" si="13"/>
        <v>50</v>
      </c>
      <c r="AR7" s="19">
        <f t="shared" si="25"/>
        <v>60.120814910016179</v>
      </c>
      <c r="AS7" s="23">
        <f t="shared" si="14"/>
        <v>1123.9528149100163</v>
      </c>
    </row>
    <row r="8" spans="1:45" ht="15.75" thickBot="1">
      <c r="E8" s="35" t="str">
        <f t="shared" si="0"/>
        <v/>
      </c>
      <c r="F8" s="19">
        <f>'Profile data'!A8</f>
        <v>10</v>
      </c>
      <c r="G8" s="19">
        <f>VLOOKUP(F8,'Profile data'!A8:C267,IF($B$22="Botswana 1",2,3))</f>
        <v>1067.893</v>
      </c>
      <c r="H8" s="19">
        <f t="shared" si="26"/>
        <v>2</v>
      </c>
      <c r="I8" s="19">
        <v>1.9</v>
      </c>
      <c r="J8" s="36">
        <f>'Flow Rate Calculations'!$B$7</f>
        <v>4.0831050228310497</v>
      </c>
      <c r="K8" s="36">
        <f t="shared" si="15"/>
        <v>1.440102709245225</v>
      </c>
      <c r="L8" s="37">
        <f>$I8*$K8/'Calculation Constants'!$B$7</f>
        <v>2421411.6350140949</v>
      </c>
      <c r="M8" s="37" t="str">
        <f t="shared" si="1"/>
        <v>Greater Dynamic Pressures</v>
      </c>
      <c r="N8" s="23">
        <f t="shared" si="16"/>
        <v>57.012598406380675</v>
      </c>
      <c r="O8" s="55">
        <f t="shared" si="2"/>
        <v>56.54066013181</v>
      </c>
      <c r="P8" s="64">
        <f>MAX(I8*1000/'Calculation Constants'!$B$14,O8*10*I8*1000/2/('Calculation Constants'!$B$12*1000*'Calculation Constants'!$B$13))</f>
        <v>11.875</v>
      </c>
      <c r="Q8" s="66">
        <f t="shared" si="3"/>
        <v>1105894.9783427313</v>
      </c>
      <c r="R8" s="27">
        <f>(1/(2*LOG(3.7*$I8/'Calculation Constants'!$B$2*1000)))^2</f>
        <v>8.6699836115820689E-3</v>
      </c>
      <c r="S8" s="19">
        <f t="shared" si="17"/>
        <v>0.96467850809376621</v>
      </c>
      <c r="T8" s="19">
        <f>IF($H8&gt;0,'Calculation Constants'!$B$9*Hydraulics!$K8^2/2/9.81/MAX($F$4:$F$253)*$H8,"")</f>
        <v>6.3421890311175441E-2</v>
      </c>
      <c r="U8" s="19">
        <f t="shared" si="18"/>
        <v>1.0281003984049417</v>
      </c>
      <c r="V8" s="19">
        <f t="shared" si="4"/>
        <v>0</v>
      </c>
      <c r="W8" s="19">
        <f t="shared" si="5"/>
        <v>57.012598406380675</v>
      </c>
      <c r="X8" s="23">
        <f t="shared" si="6"/>
        <v>1124.9055984063807</v>
      </c>
      <c r="Y8" s="22">
        <f>(1/(2*LOG(3.7*$I8/'Calculation Constants'!$B$3*1000)))^2</f>
        <v>9.7303620360708887E-3</v>
      </c>
      <c r="Z8" s="19">
        <f t="shared" si="7"/>
        <v>1.0826630767363397</v>
      </c>
      <c r="AA8" s="19">
        <f>IF($H8&gt;0,'Calculation Constants'!$B$9*Hydraulics!$K8^2/2/9.81/MAX($F$4:$F$253)*$H8,"")</f>
        <v>6.3421890311175441E-2</v>
      </c>
      <c r="AB8" s="19">
        <f t="shared" ref="AB8:AB71" si="27">IF(Z8="",0,Z8+AA8)</f>
        <v>1.1460849670475151</v>
      </c>
      <c r="AC8" s="19">
        <f t="shared" si="8"/>
        <v>0</v>
      </c>
      <c r="AD8" s="19">
        <f t="shared" si="20"/>
        <v>56.54066013181</v>
      </c>
      <c r="AE8" s="23">
        <f t="shared" si="9"/>
        <v>1124.43366013181</v>
      </c>
      <c r="AF8" s="27">
        <f>(1/(2*LOG(3.7*$I8/'Calculation Constants'!$B$4*1000)))^2</f>
        <v>1.1458969193927592E-2</v>
      </c>
      <c r="AG8" s="19">
        <f t="shared" si="10"/>
        <v>1.274999100520025</v>
      </c>
      <c r="AH8" s="19">
        <f>IF($H8&gt;0,'Calculation Constants'!$B$9*Hydraulics!$K8^2/2/9.81/MAX($F$4:$F$253)*$H8,"")</f>
        <v>6.3421890311175441E-2</v>
      </c>
      <c r="AI8" s="19">
        <f t="shared" si="21"/>
        <v>1.3384209908312004</v>
      </c>
      <c r="AJ8" s="19">
        <f t="shared" si="11"/>
        <v>0</v>
      </c>
      <c r="AK8" s="19">
        <f t="shared" si="22"/>
        <v>55.771316036674762</v>
      </c>
      <c r="AL8" s="23">
        <f t="shared" si="12"/>
        <v>1123.6643160366748</v>
      </c>
      <c r="AM8" s="22">
        <f>(1/(2*LOG(3.7*($I8-0.008)/'Calculation Constants'!$B$5*1000)))^2</f>
        <v>1.4542845531075887E-2</v>
      </c>
      <c r="AN8" s="19">
        <f t="shared" si="23"/>
        <v>1.6249731396833385</v>
      </c>
      <c r="AO8" s="19">
        <f>IF($H8&gt;0,'Calculation Constants'!$B$9*Hydraulics!$K8^2/2/9.81/MAX($F$4:$F$253)*$H8,"")</f>
        <v>6.3421890311175441E-2</v>
      </c>
      <c r="AP8" s="19">
        <f t="shared" si="24"/>
        <v>1.6883950299945139</v>
      </c>
      <c r="AQ8" s="19">
        <f t="shared" si="13"/>
        <v>0</v>
      </c>
      <c r="AR8" s="19">
        <f t="shared" si="25"/>
        <v>54.371419880021676</v>
      </c>
      <c r="AS8" s="23">
        <f t="shared" si="14"/>
        <v>1122.2644198800217</v>
      </c>
    </row>
    <row r="9" spans="1:45">
      <c r="A9" s="84" t="s">
        <v>75</v>
      </c>
      <c r="B9" s="85"/>
      <c r="C9" s="85"/>
      <c r="D9" s="86"/>
      <c r="E9" s="35" t="str">
        <f t="shared" si="0"/>
        <v/>
      </c>
      <c r="F9" s="19">
        <f>'Profile data'!A9</f>
        <v>12</v>
      </c>
      <c r="G9" s="19">
        <f>VLOOKUP(F9,'Profile data'!A9:C268,IF($B$22="Botswana 1",2,3))</f>
        <v>1075.133</v>
      </c>
      <c r="H9" s="19">
        <f t="shared" si="26"/>
        <v>2</v>
      </c>
      <c r="I9" s="19">
        <v>1.9</v>
      </c>
      <c r="J9" s="36">
        <f>'Flow Rate Calculations'!$B$7</f>
        <v>4.0831050228310497</v>
      </c>
      <c r="K9" s="36">
        <f t="shared" si="15"/>
        <v>1.440102709245225</v>
      </c>
      <c r="L9" s="37">
        <f>$I9*$K9/'Calculation Constants'!$B$7</f>
        <v>2421411.6350140949</v>
      </c>
      <c r="M9" s="37" t="str">
        <f t="shared" si="1"/>
        <v>Greater Dynamic Pressures</v>
      </c>
      <c r="N9" s="23">
        <f t="shared" si="16"/>
        <v>48.744498007975835</v>
      </c>
      <c r="O9" s="55">
        <f t="shared" si="2"/>
        <v>48.154575164762491</v>
      </c>
      <c r="P9" s="64">
        <f>MAX(I9*1000/'Calculation Constants'!$B$14,O9*10*I9*1000/2/('Calculation Constants'!$B$12*1000*'Calculation Constants'!$B$13))</f>
        <v>11.875</v>
      </c>
      <c r="Q9" s="66">
        <f t="shared" si="3"/>
        <v>1105894.9783427313</v>
      </c>
      <c r="R9" s="27">
        <f>(1/(2*LOG(3.7*$I9/'Calculation Constants'!$B$2*1000)))^2</f>
        <v>8.6699836115820689E-3</v>
      </c>
      <c r="S9" s="19">
        <f t="shared" si="17"/>
        <v>0.96467850809376621</v>
      </c>
      <c r="T9" s="19">
        <f>IF($H9&gt;0,'Calculation Constants'!$B$9*Hydraulics!$K9^2/2/9.81/MAX($F$4:$F$253)*$H9,"")</f>
        <v>6.3421890311175441E-2</v>
      </c>
      <c r="U9" s="19">
        <f t="shared" si="18"/>
        <v>1.0281003984049417</v>
      </c>
      <c r="V9" s="19">
        <f t="shared" si="4"/>
        <v>0</v>
      </c>
      <c r="W9" s="19">
        <f t="shared" si="5"/>
        <v>48.744498007975835</v>
      </c>
      <c r="X9" s="23">
        <f t="shared" si="6"/>
        <v>1123.8774980079759</v>
      </c>
      <c r="Y9" s="22">
        <f>(1/(2*LOG(3.7*$I9/'Calculation Constants'!$B$3*1000)))^2</f>
        <v>9.7303620360708887E-3</v>
      </c>
      <c r="Z9" s="19">
        <f t="shared" si="7"/>
        <v>1.0826630767363397</v>
      </c>
      <c r="AA9" s="19">
        <f>IF($H9&gt;0,'Calculation Constants'!$B$9*Hydraulics!$K9^2/2/9.81/MAX($F$4:$F$253)*$H9,"")</f>
        <v>6.3421890311175441E-2</v>
      </c>
      <c r="AB9" s="19">
        <f t="shared" si="27"/>
        <v>1.1460849670475151</v>
      </c>
      <c r="AC9" s="19">
        <f t="shared" si="8"/>
        <v>0</v>
      </c>
      <c r="AD9" s="19">
        <f t="shared" si="20"/>
        <v>48.154575164762491</v>
      </c>
      <c r="AE9" s="23">
        <f t="shared" si="9"/>
        <v>1123.2875751647625</v>
      </c>
      <c r="AF9" s="27">
        <f>(1/(2*LOG(3.7*$I9/'Calculation Constants'!$B$4*1000)))^2</f>
        <v>1.1458969193927592E-2</v>
      </c>
      <c r="AG9" s="19">
        <f t="shared" si="10"/>
        <v>1.274999100520025</v>
      </c>
      <c r="AH9" s="19">
        <f>IF($H9&gt;0,'Calculation Constants'!$B$9*Hydraulics!$K9^2/2/9.81/MAX($F$4:$F$253)*$H9,"")</f>
        <v>6.3421890311175441E-2</v>
      </c>
      <c r="AI9" s="19">
        <f t="shared" si="21"/>
        <v>1.3384209908312004</v>
      </c>
      <c r="AJ9" s="19">
        <f t="shared" si="11"/>
        <v>0</v>
      </c>
      <c r="AK9" s="19">
        <f t="shared" si="22"/>
        <v>47.192895045843443</v>
      </c>
      <c r="AL9" s="23">
        <f t="shared" si="12"/>
        <v>1122.3258950458435</v>
      </c>
      <c r="AM9" s="22">
        <f>(1/(2*LOG(3.7*($I9-0.008)/'Calculation Constants'!$B$5*1000)))^2</f>
        <v>1.4542845531075887E-2</v>
      </c>
      <c r="AN9" s="19">
        <f t="shared" si="23"/>
        <v>1.6249731396833385</v>
      </c>
      <c r="AO9" s="19">
        <f>IF($H9&gt;0,'Calculation Constants'!$B$9*Hydraulics!$K9^2/2/9.81/MAX($F$4:$F$253)*$H9,"")</f>
        <v>6.3421890311175441E-2</v>
      </c>
      <c r="AP9" s="19">
        <f t="shared" si="24"/>
        <v>1.6883950299945139</v>
      </c>
      <c r="AQ9" s="19">
        <f t="shared" si="13"/>
        <v>0</v>
      </c>
      <c r="AR9" s="19">
        <f t="shared" si="25"/>
        <v>45.443024850027086</v>
      </c>
      <c r="AS9" s="23">
        <f t="shared" si="14"/>
        <v>1120.5760248500271</v>
      </c>
    </row>
    <row r="10" spans="1:45">
      <c r="A10" s="21" t="s">
        <v>15</v>
      </c>
      <c r="B10" s="13" t="s">
        <v>17</v>
      </c>
      <c r="C10" s="13" t="s">
        <v>41</v>
      </c>
      <c r="D10" s="34" t="s">
        <v>40</v>
      </c>
      <c r="E10" s="35" t="str">
        <f t="shared" si="0"/>
        <v/>
      </c>
      <c r="F10" s="19">
        <f>'Profile data'!A10</f>
        <v>14</v>
      </c>
      <c r="G10" s="19">
        <f>VLOOKUP(F10,'Profile data'!A10:C269,IF($B$22="Botswana 1",2,3))</f>
        <v>1082.768</v>
      </c>
      <c r="H10" s="19">
        <f t="shared" si="26"/>
        <v>2</v>
      </c>
      <c r="I10" s="19">
        <v>1.9</v>
      </c>
      <c r="J10" s="36">
        <f>'Flow Rate Calculations'!$B$7</f>
        <v>4.0831050228310497</v>
      </c>
      <c r="K10" s="36">
        <f t="shared" si="15"/>
        <v>1.440102709245225</v>
      </c>
      <c r="L10" s="37">
        <f>$I10*$K10/'Calculation Constants'!$B$7</f>
        <v>2421411.6350140949</v>
      </c>
      <c r="M10" s="37" t="str">
        <f t="shared" si="1"/>
        <v>Greater Dynamic Pressures</v>
      </c>
      <c r="N10" s="23">
        <f t="shared" si="16"/>
        <v>40.081397609571013</v>
      </c>
      <c r="O10" s="55">
        <f t="shared" si="2"/>
        <v>39.373490197715</v>
      </c>
      <c r="P10" s="64">
        <f>MAX(I10*1000/'Calculation Constants'!$B$14,O10*10*I10*1000/2/('Calculation Constants'!$B$12*1000*'Calculation Constants'!$B$13))</f>
        <v>11.875</v>
      </c>
      <c r="Q10" s="66">
        <f t="shared" si="3"/>
        <v>1105894.9783427313</v>
      </c>
      <c r="R10" s="27">
        <f>(1/(2*LOG(3.7*$I10/'Calculation Constants'!$B$2*1000)))^2</f>
        <v>8.6699836115820689E-3</v>
      </c>
      <c r="S10" s="19">
        <f t="shared" si="17"/>
        <v>0.96467850809376621</v>
      </c>
      <c r="T10" s="19">
        <f>IF($H10&gt;0,'Calculation Constants'!$B$9*Hydraulics!$K10^2/2/9.81/MAX($F$4:$F$253)*$H10,"")</f>
        <v>6.3421890311175441E-2</v>
      </c>
      <c r="U10" s="19">
        <f t="shared" si="18"/>
        <v>1.0281003984049417</v>
      </c>
      <c r="V10" s="19">
        <f t="shared" si="4"/>
        <v>0</v>
      </c>
      <c r="W10" s="19">
        <f t="shared" si="5"/>
        <v>40.081397609571013</v>
      </c>
      <c r="X10" s="23">
        <f t="shared" si="6"/>
        <v>1122.849397609571</v>
      </c>
      <c r="Y10" s="22">
        <f>(1/(2*LOG(3.7*$I10/'Calculation Constants'!$B$3*1000)))^2</f>
        <v>9.7303620360708887E-3</v>
      </c>
      <c r="Z10" s="19">
        <f t="shared" si="7"/>
        <v>1.0826630767363397</v>
      </c>
      <c r="AA10" s="19">
        <f>IF($H10&gt;0,'Calculation Constants'!$B$9*Hydraulics!$K10^2/2/9.81/MAX($F$4:$F$253)*$H10,"")</f>
        <v>6.3421890311175441E-2</v>
      </c>
      <c r="AB10" s="19">
        <f t="shared" si="27"/>
        <v>1.1460849670475151</v>
      </c>
      <c r="AC10" s="19">
        <f t="shared" si="8"/>
        <v>0</v>
      </c>
      <c r="AD10" s="19">
        <f t="shared" si="20"/>
        <v>39.373490197715</v>
      </c>
      <c r="AE10" s="23">
        <f t="shared" si="9"/>
        <v>1122.141490197715</v>
      </c>
      <c r="AF10" s="27">
        <f>(1/(2*LOG(3.7*$I10/'Calculation Constants'!$B$4*1000)))^2</f>
        <v>1.1458969193927592E-2</v>
      </c>
      <c r="AG10" s="19">
        <f t="shared" si="10"/>
        <v>1.274999100520025</v>
      </c>
      <c r="AH10" s="19">
        <f>IF($H10&gt;0,'Calculation Constants'!$B$9*Hydraulics!$K10^2/2/9.81/MAX($F$4:$F$253)*$H10,"")</f>
        <v>6.3421890311175441E-2</v>
      </c>
      <c r="AI10" s="19">
        <f t="shared" si="21"/>
        <v>1.3384209908312004</v>
      </c>
      <c r="AJ10" s="19">
        <f t="shared" si="11"/>
        <v>0</v>
      </c>
      <c r="AK10" s="19">
        <f t="shared" si="22"/>
        <v>38.219474055012142</v>
      </c>
      <c r="AL10" s="23">
        <f t="shared" si="12"/>
        <v>1120.9874740550122</v>
      </c>
      <c r="AM10" s="22">
        <f>(1/(2*LOG(3.7*($I10-0.008)/'Calculation Constants'!$B$5*1000)))^2</f>
        <v>1.4542845531075887E-2</v>
      </c>
      <c r="AN10" s="19">
        <f t="shared" si="23"/>
        <v>1.6249731396833385</v>
      </c>
      <c r="AO10" s="19">
        <f>IF($H10&gt;0,'Calculation Constants'!$B$9*Hydraulics!$K10^2/2/9.81/MAX($F$4:$F$253)*$H10,"")</f>
        <v>6.3421890311175441E-2</v>
      </c>
      <c r="AP10" s="19">
        <f t="shared" si="24"/>
        <v>1.6883950299945139</v>
      </c>
      <c r="AQ10" s="19">
        <f t="shared" si="13"/>
        <v>0</v>
      </c>
      <c r="AR10" s="19">
        <f t="shared" si="25"/>
        <v>36.119629820032515</v>
      </c>
      <c r="AS10" s="23">
        <f t="shared" si="14"/>
        <v>1118.8876298200325</v>
      </c>
    </row>
    <row r="11" spans="1:45">
      <c r="A11" s="40" t="s">
        <v>16</v>
      </c>
      <c r="B11" s="18">
        <v>2</v>
      </c>
      <c r="C11" s="12">
        <f>IF(B11&gt;0,VLOOKUP(B11,$F$4:$G$253,2)+D11,"")</f>
        <v>1079.018</v>
      </c>
      <c r="D11" s="41">
        <v>10</v>
      </c>
      <c r="E11" s="35" t="str">
        <f t="shared" si="0"/>
        <v/>
      </c>
      <c r="F11" s="19">
        <f>'Profile data'!A11</f>
        <v>16</v>
      </c>
      <c r="G11" s="19">
        <f>VLOOKUP(F11,'Profile data'!A11:C270,IF($B$22="Botswana 1",2,3))</f>
        <v>1089.7260000000001</v>
      </c>
      <c r="H11" s="19">
        <f t="shared" si="26"/>
        <v>2</v>
      </c>
      <c r="I11" s="19">
        <v>1.9</v>
      </c>
      <c r="J11" s="36">
        <f>'Flow Rate Calculations'!$B$7</f>
        <v>4.0831050228310497</v>
      </c>
      <c r="K11" s="36">
        <f t="shared" si="15"/>
        <v>1.440102709245225</v>
      </c>
      <c r="L11" s="37">
        <f>$I11*$K11/'Calculation Constants'!$B$7</f>
        <v>2421411.6350140949</v>
      </c>
      <c r="M11" s="37" t="str">
        <f t="shared" si="1"/>
        <v>Greater Dynamic Pressures</v>
      </c>
      <c r="N11" s="23">
        <f t="shared" si="16"/>
        <v>32.095297211166098</v>
      </c>
      <c r="O11" s="55">
        <f t="shared" si="2"/>
        <v>31.269405230667417</v>
      </c>
      <c r="P11" s="64">
        <f>MAX(I11*1000/'Calculation Constants'!$B$14,O11*10*I11*1000/2/('Calculation Constants'!$B$12*1000*'Calculation Constants'!$B$13))</f>
        <v>11.875</v>
      </c>
      <c r="Q11" s="66">
        <f t="shared" si="3"/>
        <v>1105894.9783427313</v>
      </c>
      <c r="R11" s="27">
        <f>(1/(2*LOG(3.7*$I11/'Calculation Constants'!$B$2*1000)))^2</f>
        <v>8.6699836115820689E-3</v>
      </c>
      <c r="S11" s="19">
        <f t="shared" si="17"/>
        <v>0.96467850809376621</v>
      </c>
      <c r="T11" s="19">
        <f>IF($H11&gt;0,'Calculation Constants'!$B$9*Hydraulics!$K11^2/2/9.81/MAX($F$4:$F$253)*$H11,"")</f>
        <v>6.3421890311175441E-2</v>
      </c>
      <c r="U11" s="19">
        <f t="shared" si="18"/>
        <v>1.0281003984049417</v>
      </c>
      <c r="V11" s="19">
        <f t="shared" si="4"/>
        <v>0</v>
      </c>
      <c r="W11" s="19">
        <f t="shared" si="5"/>
        <v>32.095297211166098</v>
      </c>
      <c r="X11" s="23">
        <f t="shared" si="6"/>
        <v>1121.8212972111662</v>
      </c>
      <c r="Y11" s="22">
        <f>(1/(2*LOG(3.7*$I11/'Calculation Constants'!$B$3*1000)))^2</f>
        <v>9.7303620360708887E-3</v>
      </c>
      <c r="Z11" s="19">
        <f t="shared" si="7"/>
        <v>1.0826630767363397</v>
      </c>
      <c r="AA11" s="19">
        <f>IF($H11&gt;0,'Calculation Constants'!$B$9*Hydraulics!$K11^2/2/9.81/MAX($F$4:$F$253)*$H11,"")</f>
        <v>6.3421890311175441E-2</v>
      </c>
      <c r="AB11" s="19">
        <f t="shared" si="27"/>
        <v>1.1460849670475151</v>
      </c>
      <c r="AC11" s="19">
        <f t="shared" si="8"/>
        <v>0</v>
      </c>
      <c r="AD11" s="19">
        <f t="shared" si="20"/>
        <v>31.269405230667417</v>
      </c>
      <c r="AE11" s="23">
        <f t="shared" si="9"/>
        <v>1120.9954052306675</v>
      </c>
      <c r="AF11" s="27">
        <f>(1/(2*LOG(3.7*$I11/'Calculation Constants'!$B$4*1000)))^2</f>
        <v>1.1458969193927592E-2</v>
      </c>
      <c r="AG11" s="19">
        <f t="shared" si="10"/>
        <v>1.274999100520025</v>
      </c>
      <c r="AH11" s="19">
        <f>IF($H11&gt;0,'Calculation Constants'!$B$9*Hydraulics!$K11^2/2/9.81/MAX($F$4:$F$253)*$H11,"")</f>
        <v>6.3421890311175441E-2</v>
      </c>
      <c r="AI11" s="19">
        <f t="shared" si="21"/>
        <v>1.3384209908312004</v>
      </c>
      <c r="AJ11" s="19">
        <f t="shared" si="11"/>
        <v>0</v>
      </c>
      <c r="AK11" s="19">
        <f t="shared" si="22"/>
        <v>29.923053064180749</v>
      </c>
      <c r="AL11" s="23">
        <f t="shared" si="12"/>
        <v>1119.6490530641809</v>
      </c>
      <c r="AM11" s="22">
        <f>(1/(2*LOG(3.7*($I11-0.008)/'Calculation Constants'!$B$5*1000)))^2</f>
        <v>1.4542845531075887E-2</v>
      </c>
      <c r="AN11" s="19">
        <f t="shared" si="23"/>
        <v>1.6249731396833385</v>
      </c>
      <c r="AO11" s="19">
        <f>IF($H11&gt;0,'Calculation Constants'!$B$9*Hydraulics!$K11^2/2/9.81/MAX($F$4:$F$253)*$H11,"")</f>
        <v>6.3421890311175441E-2</v>
      </c>
      <c r="AP11" s="19">
        <f t="shared" si="24"/>
        <v>1.6883950299945139</v>
      </c>
      <c r="AQ11" s="19">
        <f t="shared" si="13"/>
        <v>0</v>
      </c>
      <c r="AR11" s="19">
        <f t="shared" si="25"/>
        <v>27.47323479003785</v>
      </c>
      <c r="AS11" s="23">
        <f t="shared" si="14"/>
        <v>1117.199234790038</v>
      </c>
    </row>
    <row r="12" spans="1:45">
      <c r="A12" s="40" t="s">
        <v>78</v>
      </c>
      <c r="B12" s="18">
        <v>22</v>
      </c>
      <c r="C12" s="12">
        <f>IF(B12&gt;0,VLOOKUP(B12,$F$4:$G$253,2)+D12,"")</f>
        <v>1111.67</v>
      </c>
      <c r="D12" s="41">
        <v>10</v>
      </c>
      <c r="E12" s="35" t="str">
        <f t="shared" si="0"/>
        <v/>
      </c>
      <c r="F12" s="19">
        <f>'Profile data'!A12</f>
        <v>18</v>
      </c>
      <c r="G12" s="19">
        <f>VLOOKUP(F12,'Profile data'!A12:C271,IF($B$22="Botswana 1",2,3))</f>
        <v>1094.1310000000001</v>
      </c>
      <c r="H12" s="19">
        <f t="shared" si="26"/>
        <v>2</v>
      </c>
      <c r="I12" s="19">
        <v>1.9</v>
      </c>
      <c r="J12" s="36">
        <f>'Flow Rate Calculations'!$B$7</f>
        <v>4.0831050228310497</v>
      </c>
      <c r="K12" s="36">
        <f t="shared" si="15"/>
        <v>1.440102709245225</v>
      </c>
      <c r="L12" s="37">
        <f>$I12*$K12/'Calculation Constants'!$B$7</f>
        <v>2421411.6350140949</v>
      </c>
      <c r="M12" s="37" t="str">
        <f t="shared" si="1"/>
        <v>Greater Dynamic Pressures</v>
      </c>
      <c r="N12" s="23">
        <f t="shared" si="16"/>
        <v>26.662196812761294</v>
      </c>
      <c r="O12" s="55">
        <f t="shared" si="2"/>
        <v>25.718320263619944</v>
      </c>
      <c r="P12" s="64">
        <f>MAX(I12*1000/'Calculation Constants'!$B$14,O12*10*I12*1000/2/('Calculation Constants'!$B$12*1000*'Calculation Constants'!$B$13))</f>
        <v>11.875</v>
      </c>
      <c r="Q12" s="66">
        <f t="shared" si="3"/>
        <v>1105894.9783427313</v>
      </c>
      <c r="R12" s="27">
        <f>(1/(2*LOG(3.7*$I12/'Calculation Constants'!$B$2*1000)))^2</f>
        <v>8.6699836115820689E-3</v>
      </c>
      <c r="S12" s="19">
        <f t="shared" si="17"/>
        <v>0.96467850809376621</v>
      </c>
      <c r="T12" s="19">
        <f>IF($H12&gt;0,'Calculation Constants'!$B$9*Hydraulics!$K12^2/2/9.81/MAX($F$4:$F$253)*$H12,"")</f>
        <v>6.3421890311175441E-2</v>
      </c>
      <c r="U12" s="19">
        <f t="shared" si="18"/>
        <v>1.0281003984049417</v>
      </c>
      <c r="V12" s="19">
        <f t="shared" si="4"/>
        <v>0</v>
      </c>
      <c r="W12" s="19">
        <f t="shared" si="5"/>
        <v>26.662196812761294</v>
      </c>
      <c r="X12" s="23">
        <f t="shared" si="6"/>
        <v>1120.7931968127614</v>
      </c>
      <c r="Y12" s="22">
        <f>(1/(2*LOG(3.7*$I12/'Calculation Constants'!$B$3*1000)))^2</f>
        <v>9.7303620360708887E-3</v>
      </c>
      <c r="Z12" s="19">
        <f t="shared" si="7"/>
        <v>1.0826630767363397</v>
      </c>
      <c r="AA12" s="19">
        <f>IF($H12&gt;0,'Calculation Constants'!$B$9*Hydraulics!$K12^2/2/9.81/MAX($F$4:$F$253)*$H12,"")</f>
        <v>6.3421890311175441E-2</v>
      </c>
      <c r="AB12" s="19">
        <f t="shared" si="27"/>
        <v>1.1460849670475151</v>
      </c>
      <c r="AC12" s="19">
        <f t="shared" si="8"/>
        <v>0</v>
      </c>
      <c r="AD12" s="19">
        <f t="shared" si="20"/>
        <v>25.718320263619944</v>
      </c>
      <c r="AE12" s="23">
        <f t="shared" si="9"/>
        <v>1119.84932026362</v>
      </c>
      <c r="AF12" s="27">
        <f>(1/(2*LOG(3.7*$I12/'Calculation Constants'!$B$4*1000)))^2</f>
        <v>1.1458969193927592E-2</v>
      </c>
      <c r="AG12" s="19">
        <f t="shared" si="10"/>
        <v>1.274999100520025</v>
      </c>
      <c r="AH12" s="19">
        <f>IF($H12&gt;0,'Calculation Constants'!$B$9*Hydraulics!$K12^2/2/9.81/MAX($F$4:$F$253)*$H12,"")</f>
        <v>6.3421890311175441E-2</v>
      </c>
      <c r="AI12" s="19">
        <f t="shared" si="21"/>
        <v>1.3384209908312004</v>
      </c>
      <c r="AJ12" s="19">
        <f t="shared" si="11"/>
        <v>0</v>
      </c>
      <c r="AK12" s="19">
        <f t="shared" si="22"/>
        <v>24.179632073349467</v>
      </c>
      <c r="AL12" s="23">
        <f t="shared" si="12"/>
        <v>1118.3106320733496</v>
      </c>
      <c r="AM12" s="22">
        <f>(1/(2*LOG(3.7*($I12-0.008)/'Calculation Constants'!$B$5*1000)))^2</f>
        <v>1.4542845531075887E-2</v>
      </c>
      <c r="AN12" s="19">
        <f t="shared" si="23"/>
        <v>1.6249731396833385</v>
      </c>
      <c r="AO12" s="19">
        <f>IF($H12&gt;0,'Calculation Constants'!$B$9*Hydraulics!$K12^2/2/9.81/MAX($F$4:$F$253)*$H12,"")</f>
        <v>6.3421890311175441E-2</v>
      </c>
      <c r="AP12" s="19">
        <f t="shared" si="24"/>
        <v>1.6883950299945139</v>
      </c>
      <c r="AQ12" s="19">
        <f t="shared" si="13"/>
        <v>0</v>
      </c>
      <c r="AR12" s="19">
        <f t="shared" si="25"/>
        <v>21.379839760043296</v>
      </c>
      <c r="AS12" s="23">
        <f t="shared" si="14"/>
        <v>1115.5108397600434</v>
      </c>
    </row>
    <row r="13" spans="1:45">
      <c r="A13" s="40" t="s">
        <v>87</v>
      </c>
      <c r="B13" s="18">
        <v>228</v>
      </c>
      <c r="C13" s="12">
        <f>IF(B13&gt;0,VLOOKUP(B13,$F$4:$G$253,2)+D13,"")</f>
        <v>923.48400000000004</v>
      </c>
      <c r="D13" s="41">
        <v>10</v>
      </c>
      <c r="E13" s="35" t="str">
        <f t="shared" si="0"/>
        <v/>
      </c>
      <c r="F13" s="19">
        <f>'Profile data'!A13</f>
        <v>20</v>
      </c>
      <c r="G13" s="19">
        <f>VLOOKUP(F13,'Profile data'!A13:C272,IF($B$22="Botswana 1",2,3))</f>
        <v>1097.8969999999999</v>
      </c>
      <c r="H13" s="19">
        <f t="shared" si="26"/>
        <v>2</v>
      </c>
      <c r="I13" s="19">
        <v>1.9</v>
      </c>
      <c r="J13" s="36">
        <f>'Flow Rate Calculations'!$B$7</f>
        <v>4.0831050228310497</v>
      </c>
      <c r="K13" s="36">
        <f t="shared" si="15"/>
        <v>1.440102709245225</v>
      </c>
      <c r="L13" s="37">
        <f>$I13*$K13/'Calculation Constants'!$B$7</f>
        <v>2421411.6350140949</v>
      </c>
      <c r="M13" s="37" t="str">
        <f t="shared" si="1"/>
        <v>Greater Dynamic Pressures</v>
      </c>
      <c r="N13" s="23">
        <f t="shared" si="16"/>
        <v>21.868096414356614</v>
      </c>
      <c r="O13" s="55">
        <f t="shared" si="2"/>
        <v>20.806235296572595</v>
      </c>
      <c r="P13" s="64">
        <f>MAX(I13*1000/'Calculation Constants'!$B$14,O13*10*I13*1000/2/('Calculation Constants'!$B$12*1000*'Calculation Constants'!$B$13))</f>
        <v>11.875</v>
      </c>
      <c r="Q13" s="66">
        <f t="shared" si="3"/>
        <v>1105894.9783427313</v>
      </c>
      <c r="R13" s="27">
        <f>(1/(2*LOG(3.7*$I13/'Calculation Constants'!$B$2*1000)))^2</f>
        <v>8.6699836115820689E-3</v>
      </c>
      <c r="S13" s="19">
        <f t="shared" si="17"/>
        <v>0.96467850809376621</v>
      </c>
      <c r="T13" s="19">
        <f>IF($H13&gt;0,'Calculation Constants'!$B$9*Hydraulics!$K13^2/2/9.81/MAX($F$4:$F$253)*$H13,"")</f>
        <v>6.3421890311175441E-2</v>
      </c>
      <c r="U13" s="19">
        <f t="shared" si="18"/>
        <v>1.0281003984049417</v>
      </c>
      <c r="V13" s="19">
        <f t="shared" si="4"/>
        <v>0</v>
      </c>
      <c r="W13" s="19">
        <f t="shared" si="5"/>
        <v>21.868096414356614</v>
      </c>
      <c r="X13" s="23">
        <f t="shared" si="6"/>
        <v>1119.7650964143565</v>
      </c>
      <c r="Y13" s="22">
        <f>(1/(2*LOG(3.7*$I13/'Calculation Constants'!$B$3*1000)))^2</f>
        <v>9.7303620360708887E-3</v>
      </c>
      <c r="Z13" s="19">
        <f t="shared" si="7"/>
        <v>1.0826630767363397</v>
      </c>
      <c r="AA13" s="19">
        <f>IF($H13&gt;0,'Calculation Constants'!$B$9*Hydraulics!$K13^2/2/9.81/MAX($F$4:$F$253)*$H13,"")</f>
        <v>6.3421890311175441E-2</v>
      </c>
      <c r="AB13" s="19">
        <f t="shared" si="27"/>
        <v>1.1460849670475151</v>
      </c>
      <c r="AC13" s="19">
        <f t="shared" si="8"/>
        <v>0</v>
      </c>
      <c r="AD13" s="19">
        <f t="shared" si="20"/>
        <v>20.806235296572595</v>
      </c>
      <c r="AE13" s="23">
        <f t="shared" si="9"/>
        <v>1118.7032352965725</v>
      </c>
      <c r="AF13" s="27">
        <f>(1/(2*LOG(3.7*$I13/'Calculation Constants'!$B$4*1000)))^2</f>
        <v>1.1458969193927592E-2</v>
      </c>
      <c r="AG13" s="19">
        <f t="shared" si="10"/>
        <v>1.274999100520025</v>
      </c>
      <c r="AH13" s="19">
        <f>IF($H13&gt;0,'Calculation Constants'!$B$9*Hydraulics!$K13^2/2/9.81/MAX($F$4:$F$253)*$H13,"")</f>
        <v>6.3421890311175441E-2</v>
      </c>
      <c r="AI13" s="19">
        <f t="shared" si="21"/>
        <v>1.3384209908312004</v>
      </c>
      <c r="AJ13" s="19">
        <f t="shared" si="11"/>
        <v>0</v>
      </c>
      <c r="AK13" s="19">
        <f t="shared" si="22"/>
        <v>19.075211082518308</v>
      </c>
      <c r="AL13" s="23">
        <f t="shared" si="12"/>
        <v>1116.9722110825182</v>
      </c>
      <c r="AM13" s="22">
        <f>(1/(2*LOG(3.7*($I13-0.008)/'Calculation Constants'!$B$5*1000)))^2</f>
        <v>1.4542845531075887E-2</v>
      </c>
      <c r="AN13" s="19">
        <f t="shared" si="23"/>
        <v>1.6249731396833385</v>
      </c>
      <c r="AO13" s="19">
        <f>IF($H13&gt;0,'Calculation Constants'!$B$9*Hydraulics!$K13^2/2/9.81/MAX($F$4:$F$253)*$H13,"")</f>
        <v>6.3421890311175441E-2</v>
      </c>
      <c r="AP13" s="19">
        <f t="shared" si="24"/>
        <v>1.6883950299945139</v>
      </c>
      <c r="AQ13" s="19">
        <f t="shared" si="13"/>
        <v>0</v>
      </c>
      <c r="AR13" s="19">
        <f t="shared" si="25"/>
        <v>15.925444730048866</v>
      </c>
      <c r="AS13" s="23">
        <f t="shared" si="14"/>
        <v>1113.8224447300488</v>
      </c>
    </row>
    <row r="14" spans="1:45">
      <c r="A14" s="40" t="s">
        <v>19</v>
      </c>
      <c r="B14" s="18">
        <v>500</v>
      </c>
      <c r="C14" s="12">
        <f>IF(B14&gt;0,VLOOKUP(B14,$F$4:$G$253,2)+D14,"")</f>
        <v>929.62900000000002</v>
      </c>
      <c r="D14" s="41">
        <v>10</v>
      </c>
      <c r="E14" s="35" t="str">
        <f t="shared" si="0"/>
        <v>Reservoir</v>
      </c>
      <c r="F14" s="19">
        <f>'Profile data'!A14</f>
        <v>22</v>
      </c>
      <c r="G14" s="19">
        <f>VLOOKUP(F14,'Profile data'!A14:C273,IF($B$22="Botswana 1",2,3))</f>
        <v>1101.67</v>
      </c>
      <c r="H14" s="19">
        <f t="shared" si="26"/>
        <v>2</v>
      </c>
      <c r="I14" s="19">
        <v>1.9</v>
      </c>
      <c r="J14" s="36">
        <f>'Flow Rate Calculations'!$B$7</f>
        <v>4.0831050228310497</v>
      </c>
      <c r="K14" s="36">
        <f t="shared" si="15"/>
        <v>1.440102709245225</v>
      </c>
      <c r="L14" s="37">
        <f>$I14*$K14/'Calculation Constants'!$B$7</f>
        <v>2421411.6350140949</v>
      </c>
      <c r="M14" s="37">
        <f t="shared" si="1"/>
        <v>10</v>
      </c>
      <c r="N14" s="23">
        <f t="shared" si="16"/>
        <v>10</v>
      </c>
      <c r="O14" s="55">
        <f t="shared" si="2"/>
        <v>10</v>
      </c>
      <c r="P14" s="64">
        <f>MAX(I14*1000/'Calculation Constants'!$B$14,O14*10*I14*1000/2/('Calculation Constants'!$B$12*1000*'Calculation Constants'!$B$13))</f>
        <v>11.875</v>
      </c>
      <c r="Q14" s="66">
        <f t="shared" si="3"/>
        <v>1105894.9783427313</v>
      </c>
      <c r="R14" s="27">
        <f>(1/(2*LOG(3.7*$I14/'Calculation Constants'!$B$2*1000)))^2</f>
        <v>8.6699836115820689E-3</v>
      </c>
      <c r="S14" s="19">
        <f t="shared" si="17"/>
        <v>0.96467850809376621</v>
      </c>
      <c r="T14" s="19">
        <f>IF($H14&gt;0,'Calculation Constants'!$B$9*Hydraulics!$K14^2/2/9.81/MAX($F$4:$F$253)*$H14,"")</f>
        <v>6.3421890311175441E-2</v>
      </c>
      <c r="U14" s="19">
        <f t="shared" si="18"/>
        <v>1.0281003984049417</v>
      </c>
      <c r="V14" s="19">
        <f t="shared" si="4"/>
        <v>0</v>
      </c>
      <c r="W14" s="19">
        <f t="shared" si="5"/>
        <v>10</v>
      </c>
      <c r="X14" s="23">
        <f t="shared" si="6"/>
        <v>1111.67</v>
      </c>
      <c r="Y14" s="22">
        <f>(1/(2*LOG(3.7*$I14/'Calculation Constants'!$B$3*1000)))^2</f>
        <v>9.7303620360708887E-3</v>
      </c>
      <c r="Z14" s="19">
        <f t="shared" si="7"/>
        <v>1.0826630767363397</v>
      </c>
      <c r="AA14" s="19">
        <f>IF($H14&gt;0,'Calculation Constants'!$B$9*Hydraulics!$K14^2/2/9.81/MAX($F$4:$F$253)*$H14,"")</f>
        <v>6.3421890311175441E-2</v>
      </c>
      <c r="AB14" s="19">
        <f t="shared" si="27"/>
        <v>1.1460849670475151</v>
      </c>
      <c r="AC14" s="19">
        <f t="shared" si="8"/>
        <v>0</v>
      </c>
      <c r="AD14" s="19">
        <f t="shared" si="20"/>
        <v>10</v>
      </c>
      <c r="AE14" s="23">
        <f t="shared" si="9"/>
        <v>1111.67</v>
      </c>
      <c r="AF14" s="27">
        <f>(1/(2*LOG(3.7*$I14/'Calculation Constants'!$B$4*1000)))^2</f>
        <v>1.1458969193927592E-2</v>
      </c>
      <c r="AG14" s="19">
        <f t="shared" si="10"/>
        <v>1.274999100520025</v>
      </c>
      <c r="AH14" s="19">
        <f>IF($H14&gt;0,'Calculation Constants'!$B$9*Hydraulics!$K14^2/2/9.81/MAX($F$4:$F$253)*$H14,"")</f>
        <v>6.3421890311175441E-2</v>
      </c>
      <c r="AI14" s="19">
        <f t="shared" si="21"/>
        <v>1.3384209908312004</v>
      </c>
      <c r="AJ14" s="19">
        <f t="shared" si="11"/>
        <v>0</v>
      </c>
      <c r="AK14" s="19">
        <f t="shared" si="22"/>
        <v>10</v>
      </c>
      <c r="AL14" s="23">
        <f t="shared" si="12"/>
        <v>1111.67</v>
      </c>
      <c r="AM14" s="22">
        <f>(1/(2*LOG(3.7*($I14-0.008)/'Calculation Constants'!$B$5*1000)))^2</f>
        <v>1.4542845531075887E-2</v>
      </c>
      <c r="AN14" s="19">
        <f t="shared" si="23"/>
        <v>1.6249731396833385</v>
      </c>
      <c r="AO14" s="19">
        <f>IF($H14&gt;0,'Calculation Constants'!$B$9*Hydraulics!$K14^2/2/9.81/MAX($F$4:$F$253)*$H14,"")</f>
        <v>6.3421890311175441E-2</v>
      </c>
      <c r="AP14" s="19">
        <f t="shared" si="24"/>
        <v>1.6883950299945139</v>
      </c>
      <c r="AQ14" s="19">
        <f t="shared" si="13"/>
        <v>0</v>
      </c>
      <c r="AR14" s="19">
        <f t="shared" si="25"/>
        <v>10</v>
      </c>
      <c r="AS14" s="23">
        <f t="shared" si="14"/>
        <v>1111.67</v>
      </c>
    </row>
    <row r="15" spans="1:45" ht="15.75" thickBot="1">
      <c r="A15" s="42"/>
      <c r="B15" s="43"/>
      <c r="C15" s="44" t="str">
        <f>IF(B15&gt;0,VLOOKUP(B15,$F$4:$G$253,2)+D15,"")</f>
        <v/>
      </c>
      <c r="D15" s="45"/>
      <c r="E15" s="35" t="str">
        <f t="shared" si="0"/>
        <v/>
      </c>
      <c r="F15" s="19">
        <f>'Profile data'!A15</f>
        <v>24</v>
      </c>
      <c r="G15" s="19">
        <f>VLOOKUP(F15,'Profile data'!A15:C274,IF($B$22="Botswana 1",2,3))</f>
        <v>1095.952</v>
      </c>
      <c r="H15" s="19">
        <f t="shared" si="26"/>
        <v>2</v>
      </c>
      <c r="I15" s="19">
        <v>1.9</v>
      </c>
      <c r="J15" s="36">
        <f>'Flow Rate Calculations'!$B$7</f>
        <v>4.0831050228310497</v>
      </c>
      <c r="K15" s="36">
        <f t="shared" si="15"/>
        <v>1.440102709245225</v>
      </c>
      <c r="L15" s="37">
        <f>$I15*$K15/'Calculation Constants'!$B$7</f>
        <v>2421411.6350140949</v>
      </c>
      <c r="M15" s="37">
        <f t="shared" si="1"/>
        <v>15.718000000000075</v>
      </c>
      <c r="N15" s="23">
        <f t="shared" si="16"/>
        <v>14.689899601595243</v>
      </c>
      <c r="O15" s="55">
        <f t="shared" si="2"/>
        <v>15.718000000000075</v>
      </c>
      <c r="P15" s="64">
        <f>MAX(I15*1000/'Calculation Constants'!$B$14,O15*10*I15*1000/2/('Calculation Constants'!$B$12*1000*'Calculation Constants'!$B$13))</f>
        <v>11.875</v>
      </c>
      <c r="Q15" s="66">
        <f t="shared" si="3"/>
        <v>1105894.9783427313</v>
      </c>
      <c r="R15" s="27">
        <f>(1/(2*LOG(3.7*$I15/'Calculation Constants'!$B$2*1000)))^2</f>
        <v>8.6699836115820689E-3</v>
      </c>
      <c r="S15" s="19">
        <f t="shared" si="17"/>
        <v>0.96467850809376621</v>
      </c>
      <c r="T15" s="19">
        <f>IF($H15&gt;0,'Calculation Constants'!$B$9*Hydraulics!$K15^2/2/9.81/MAX($F$4:$F$253)*$H15,"")</f>
        <v>6.3421890311175441E-2</v>
      </c>
      <c r="U15" s="19">
        <f t="shared" si="18"/>
        <v>1.0281003984049417</v>
      </c>
      <c r="V15" s="19">
        <f t="shared" si="4"/>
        <v>0</v>
      </c>
      <c r="W15" s="19">
        <f t="shared" si="5"/>
        <v>14.689899601595243</v>
      </c>
      <c r="X15" s="23">
        <f t="shared" si="6"/>
        <v>1110.6418996015952</v>
      </c>
      <c r="Y15" s="22">
        <f>(1/(2*LOG(3.7*$I15/'Calculation Constants'!$B$3*1000)))^2</f>
        <v>9.7303620360708887E-3</v>
      </c>
      <c r="Z15" s="19">
        <f t="shared" si="7"/>
        <v>1.0826630767363397</v>
      </c>
      <c r="AA15" s="19">
        <f>IF($H15&gt;0,'Calculation Constants'!$B$9*Hydraulics!$K15^2/2/9.81/MAX($F$4:$F$253)*$H15,"")</f>
        <v>6.3421890311175441E-2</v>
      </c>
      <c r="AB15" s="19">
        <f t="shared" si="27"/>
        <v>1.1460849670475151</v>
      </c>
      <c r="AC15" s="19">
        <f t="shared" si="8"/>
        <v>0</v>
      </c>
      <c r="AD15" s="19">
        <f t="shared" si="20"/>
        <v>14.571915032952575</v>
      </c>
      <c r="AE15" s="23">
        <f t="shared" si="9"/>
        <v>1110.5239150329526</v>
      </c>
      <c r="AF15" s="27">
        <f>(1/(2*LOG(3.7*$I15/'Calculation Constants'!$B$4*1000)))^2</f>
        <v>1.1458969193927592E-2</v>
      </c>
      <c r="AG15" s="19">
        <f t="shared" si="10"/>
        <v>1.274999100520025</v>
      </c>
      <c r="AH15" s="19">
        <f>IF($H15&gt;0,'Calculation Constants'!$B$9*Hydraulics!$K15^2/2/9.81/MAX($F$4:$F$253)*$H15,"")</f>
        <v>6.3421890311175441E-2</v>
      </c>
      <c r="AI15" s="19">
        <f t="shared" si="21"/>
        <v>1.3384209908312004</v>
      </c>
      <c r="AJ15" s="19">
        <f t="shared" si="11"/>
        <v>0</v>
      </c>
      <c r="AK15" s="19">
        <f t="shared" si="22"/>
        <v>14.379579009168765</v>
      </c>
      <c r="AL15" s="23">
        <f t="shared" si="12"/>
        <v>1110.3315790091688</v>
      </c>
      <c r="AM15" s="22">
        <f>(1/(2*LOG(3.7*($I15-0.008)/'Calculation Constants'!$B$5*1000)))^2</f>
        <v>1.4542845531075887E-2</v>
      </c>
      <c r="AN15" s="19">
        <f t="shared" si="23"/>
        <v>1.6249731396833385</v>
      </c>
      <c r="AO15" s="19">
        <f>IF($H15&gt;0,'Calculation Constants'!$B$9*Hydraulics!$K15^2/2/9.81/MAX($F$4:$F$253)*$H15,"")</f>
        <v>6.3421890311175441E-2</v>
      </c>
      <c r="AP15" s="19">
        <f t="shared" si="24"/>
        <v>1.6883950299945139</v>
      </c>
      <c r="AQ15" s="19">
        <f t="shared" si="13"/>
        <v>0</v>
      </c>
      <c r="AR15" s="19">
        <f t="shared" si="25"/>
        <v>14.029604970005494</v>
      </c>
      <c r="AS15" s="23">
        <f t="shared" si="14"/>
        <v>1109.9816049700055</v>
      </c>
    </row>
    <row r="16" spans="1:45">
      <c r="E16" s="35" t="str">
        <f t="shared" si="0"/>
        <v/>
      </c>
      <c r="F16" s="19">
        <f>'Profile data'!A16</f>
        <v>26</v>
      </c>
      <c r="G16" s="19">
        <f>VLOOKUP(F16,'Profile data'!A16:C275,IF($B$22="Botswana 1",2,3))</f>
        <v>1090.107</v>
      </c>
      <c r="H16" s="19">
        <f t="shared" si="26"/>
        <v>2</v>
      </c>
      <c r="I16" s="19">
        <v>1.9</v>
      </c>
      <c r="J16" s="36">
        <f>'Flow Rate Calculations'!$B$7</f>
        <v>4.0831050228310497</v>
      </c>
      <c r="K16" s="36">
        <f t="shared" si="15"/>
        <v>1.440102709245225</v>
      </c>
      <c r="L16" s="37">
        <f>$I16*$K16/'Calculation Constants'!$B$7</f>
        <v>2421411.6350140949</v>
      </c>
      <c r="M16" s="37">
        <f t="shared" si="1"/>
        <v>21.563000000000102</v>
      </c>
      <c r="N16" s="23">
        <f t="shared" si="16"/>
        <v>19.50679920319044</v>
      </c>
      <c r="O16" s="55">
        <f t="shared" si="2"/>
        <v>21.563000000000102</v>
      </c>
      <c r="P16" s="64">
        <f>MAX(I16*1000/'Calculation Constants'!$B$14,O16*10*I16*1000/2/('Calculation Constants'!$B$12*1000*'Calculation Constants'!$B$13))</f>
        <v>11.875</v>
      </c>
      <c r="Q16" s="66">
        <f t="shared" si="3"/>
        <v>1105894.9783427313</v>
      </c>
      <c r="R16" s="27">
        <f>(1/(2*LOG(3.7*$I16/'Calculation Constants'!$B$2*1000)))^2</f>
        <v>8.6699836115820689E-3</v>
      </c>
      <c r="S16" s="19">
        <f t="shared" si="17"/>
        <v>0.96467850809376621</v>
      </c>
      <c r="T16" s="19">
        <f>IF($H16&gt;0,'Calculation Constants'!$B$9*Hydraulics!$K16^2/2/9.81/MAX($F$4:$F$253)*$H16,"")</f>
        <v>6.3421890311175441E-2</v>
      </c>
      <c r="U16" s="19">
        <f t="shared" si="18"/>
        <v>1.0281003984049417</v>
      </c>
      <c r="V16" s="19">
        <f t="shared" si="4"/>
        <v>0</v>
      </c>
      <c r="W16" s="19">
        <f t="shared" si="5"/>
        <v>19.50679920319044</v>
      </c>
      <c r="X16" s="23">
        <f t="shared" si="6"/>
        <v>1109.6137992031904</v>
      </c>
      <c r="Y16" s="22">
        <f>(1/(2*LOG(3.7*$I16/'Calculation Constants'!$B$3*1000)))^2</f>
        <v>9.7303620360708887E-3</v>
      </c>
      <c r="Z16" s="19">
        <f t="shared" si="7"/>
        <v>1.0826630767363397</v>
      </c>
      <c r="AA16" s="19">
        <f>IF($H16&gt;0,'Calculation Constants'!$B$9*Hydraulics!$K16^2/2/9.81/MAX($F$4:$F$253)*$H16,"")</f>
        <v>6.3421890311175441E-2</v>
      </c>
      <c r="AB16" s="19">
        <f t="shared" si="27"/>
        <v>1.1460849670475151</v>
      </c>
      <c r="AC16" s="19">
        <f t="shared" si="8"/>
        <v>0</v>
      </c>
      <c r="AD16" s="19">
        <f t="shared" si="20"/>
        <v>19.270830065905102</v>
      </c>
      <c r="AE16" s="23">
        <f t="shared" si="9"/>
        <v>1109.3778300659051</v>
      </c>
      <c r="AF16" s="27">
        <f>(1/(2*LOG(3.7*$I16/'Calculation Constants'!$B$4*1000)))^2</f>
        <v>1.1458969193927592E-2</v>
      </c>
      <c r="AG16" s="19">
        <f t="shared" si="10"/>
        <v>1.274999100520025</v>
      </c>
      <c r="AH16" s="19">
        <f>IF($H16&gt;0,'Calculation Constants'!$B$9*Hydraulics!$K16^2/2/9.81/MAX($F$4:$F$253)*$H16,"")</f>
        <v>6.3421890311175441E-2</v>
      </c>
      <c r="AI16" s="19">
        <f t="shared" si="21"/>
        <v>1.3384209908312004</v>
      </c>
      <c r="AJ16" s="19">
        <f t="shared" si="11"/>
        <v>0</v>
      </c>
      <c r="AK16" s="19">
        <f t="shared" si="22"/>
        <v>18.886158018337483</v>
      </c>
      <c r="AL16" s="23">
        <f t="shared" si="12"/>
        <v>1108.9931580183375</v>
      </c>
      <c r="AM16" s="22">
        <f>(1/(2*LOG(3.7*($I16-0.008)/'Calculation Constants'!$B$5*1000)))^2</f>
        <v>1.4542845531075887E-2</v>
      </c>
      <c r="AN16" s="19">
        <f t="shared" si="23"/>
        <v>1.6249731396833385</v>
      </c>
      <c r="AO16" s="19">
        <f>IF($H16&gt;0,'Calculation Constants'!$B$9*Hydraulics!$K16^2/2/9.81/MAX($F$4:$F$253)*$H16,"")</f>
        <v>6.3421890311175441E-2</v>
      </c>
      <c r="AP16" s="19">
        <f t="shared" si="24"/>
        <v>1.6883950299945139</v>
      </c>
      <c r="AQ16" s="19">
        <f t="shared" si="13"/>
        <v>0</v>
      </c>
      <c r="AR16" s="19">
        <f t="shared" si="25"/>
        <v>18.18620994001094</v>
      </c>
      <c r="AS16" s="23">
        <f t="shared" si="14"/>
        <v>1108.2932099400109</v>
      </c>
    </row>
    <row r="17" spans="1:45">
      <c r="A17" s="51"/>
      <c r="E17" s="35" t="str">
        <f t="shared" si="0"/>
        <v/>
      </c>
      <c r="F17" s="19">
        <f>'Profile data'!A17</f>
        <v>28</v>
      </c>
      <c r="G17" s="19">
        <f>VLOOKUP(F17,'Profile data'!A17:C276,IF($B$22="Botswana 1",2,3))</f>
        <v>1085.7809999999999</v>
      </c>
      <c r="H17" s="19">
        <f t="shared" si="26"/>
        <v>2</v>
      </c>
      <c r="I17" s="19">
        <v>1.9</v>
      </c>
      <c r="J17" s="36">
        <f>'Flow Rate Calculations'!$B$7</f>
        <v>4.0831050228310497</v>
      </c>
      <c r="K17" s="36">
        <f t="shared" si="15"/>
        <v>1.440102709245225</v>
      </c>
      <c r="L17" s="37">
        <f>$I17*$K17/'Calculation Constants'!$B$7</f>
        <v>2421411.6350140949</v>
      </c>
      <c r="M17" s="37">
        <f t="shared" si="1"/>
        <v>25.889000000000124</v>
      </c>
      <c r="N17" s="23">
        <f t="shared" si="16"/>
        <v>22.80469880478563</v>
      </c>
      <c r="O17" s="55">
        <f t="shared" si="2"/>
        <v>25.889000000000124</v>
      </c>
      <c r="P17" s="64">
        <f>MAX(I17*1000/'Calculation Constants'!$B$14,O17*10*I17*1000/2/('Calculation Constants'!$B$12*1000*'Calculation Constants'!$B$13))</f>
        <v>11.875</v>
      </c>
      <c r="Q17" s="66">
        <f t="shared" si="3"/>
        <v>1105894.9783427313</v>
      </c>
      <c r="R17" s="27">
        <f>(1/(2*LOG(3.7*$I17/'Calculation Constants'!$B$2*1000)))^2</f>
        <v>8.6699836115820689E-3</v>
      </c>
      <c r="S17" s="19">
        <f t="shared" si="17"/>
        <v>0.96467850809376621</v>
      </c>
      <c r="T17" s="19">
        <f>IF($H17&gt;0,'Calculation Constants'!$B$9*Hydraulics!$K17^2/2/9.81/MAX($F$4:$F$253)*$H17,"")</f>
        <v>6.3421890311175441E-2</v>
      </c>
      <c r="U17" s="19">
        <f t="shared" si="18"/>
        <v>1.0281003984049417</v>
      </c>
      <c r="V17" s="19">
        <f t="shared" si="4"/>
        <v>0</v>
      </c>
      <c r="W17" s="19">
        <f t="shared" si="5"/>
        <v>22.80469880478563</v>
      </c>
      <c r="X17" s="23">
        <f t="shared" si="6"/>
        <v>1108.5856988047856</v>
      </c>
      <c r="Y17" s="22">
        <f>(1/(2*LOG(3.7*$I17/'Calculation Constants'!$B$3*1000)))^2</f>
        <v>9.7303620360708887E-3</v>
      </c>
      <c r="Z17" s="19">
        <f t="shared" si="7"/>
        <v>1.0826630767363397</v>
      </c>
      <c r="AA17" s="19">
        <f>IF($H17&gt;0,'Calculation Constants'!$B$9*Hydraulics!$K17^2/2/9.81/MAX($F$4:$F$253)*$H17,"")</f>
        <v>6.3421890311175441E-2</v>
      </c>
      <c r="AB17" s="19">
        <f t="shared" si="27"/>
        <v>1.1460849670475151</v>
      </c>
      <c r="AC17" s="19">
        <f t="shared" si="8"/>
        <v>0</v>
      </c>
      <c r="AD17" s="19">
        <f t="shared" si="20"/>
        <v>22.450745098857624</v>
      </c>
      <c r="AE17" s="23">
        <f t="shared" si="9"/>
        <v>1108.2317450988576</v>
      </c>
      <c r="AF17" s="27">
        <f>(1/(2*LOG(3.7*$I17/'Calculation Constants'!$B$4*1000)))^2</f>
        <v>1.1458969193927592E-2</v>
      </c>
      <c r="AG17" s="19">
        <f t="shared" si="10"/>
        <v>1.274999100520025</v>
      </c>
      <c r="AH17" s="19">
        <f>IF($H17&gt;0,'Calculation Constants'!$B$9*Hydraulics!$K17^2/2/9.81/MAX($F$4:$F$253)*$H17,"")</f>
        <v>6.3421890311175441E-2</v>
      </c>
      <c r="AI17" s="19">
        <f t="shared" si="21"/>
        <v>1.3384209908312004</v>
      </c>
      <c r="AJ17" s="19">
        <f t="shared" si="11"/>
        <v>0</v>
      </c>
      <c r="AK17" s="19">
        <f t="shared" si="22"/>
        <v>21.873737027506195</v>
      </c>
      <c r="AL17" s="23">
        <f t="shared" si="12"/>
        <v>1107.6547370275061</v>
      </c>
      <c r="AM17" s="22">
        <f>(1/(2*LOG(3.7*($I17-0.008)/'Calculation Constants'!$B$5*1000)))^2</f>
        <v>1.4542845531075887E-2</v>
      </c>
      <c r="AN17" s="19">
        <f t="shared" si="23"/>
        <v>1.6249731396833385</v>
      </c>
      <c r="AO17" s="19">
        <f>IF($H17&gt;0,'Calculation Constants'!$B$9*Hydraulics!$K17^2/2/9.81/MAX($F$4:$F$253)*$H17,"")</f>
        <v>6.3421890311175441E-2</v>
      </c>
      <c r="AP17" s="19">
        <f t="shared" si="24"/>
        <v>1.6883950299945139</v>
      </c>
      <c r="AQ17" s="19">
        <f t="shared" si="13"/>
        <v>0</v>
      </c>
      <c r="AR17" s="19">
        <f t="shared" si="25"/>
        <v>20.823814910016381</v>
      </c>
      <c r="AS17" s="23">
        <f t="shared" si="14"/>
        <v>1106.6048149100163</v>
      </c>
    </row>
    <row r="18" spans="1:45">
      <c r="E18" s="35" t="str">
        <f t="shared" si="0"/>
        <v/>
      </c>
      <c r="F18" s="19">
        <f>'Profile data'!A18</f>
        <v>30</v>
      </c>
      <c r="G18" s="19">
        <f>VLOOKUP(F18,'Profile data'!A18:C277,IF($B$22="Botswana 1",2,3))</f>
        <v>1081.8900000000001</v>
      </c>
      <c r="H18" s="19">
        <f t="shared" si="26"/>
        <v>2</v>
      </c>
      <c r="I18" s="19">
        <v>1.9</v>
      </c>
      <c r="J18" s="36">
        <f>'Flow Rate Calculations'!$B$7</f>
        <v>4.0831050228310497</v>
      </c>
      <c r="K18" s="36">
        <f t="shared" si="15"/>
        <v>1.440102709245225</v>
      </c>
      <c r="L18" s="37">
        <f>$I18*$K18/'Calculation Constants'!$B$7</f>
        <v>2421411.6350140949</v>
      </c>
      <c r="M18" s="37">
        <f t="shared" si="1"/>
        <v>29.779999999999973</v>
      </c>
      <c r="N18" s="23">
        <f t="shared" si="16"/>
        <v>25.667598406380648</v>
      </c>
      <c r="O18" s="55">
        <f t="shared" si="2"/>
        <v>29.779999999999973</v>
      </c>
      <c r="P18" s="64">
        <f>MAX(I18*1000/'Calculation Constants'!$B$14,O18*10*I18*1000/2/('Calculation Constants'!$B$12*1000*'Calculation Constants'!$B$13))</f>
        <v>11.875</v>
      </c>
      <c r="Q18" s="66">
        <f t="shared" si="3"/>
        <v>1105894.9783427313</v>
      </c>
      <c r="R18" s="27">
        <f>(1/(2*LOG(3.7*$I18/'Calculation Constants'!$B$2*1000)))^2</f>
        <v>8.6699836115820689E-3</v>
      </c>
      <c r="S18" s="19">
        <f t="shared" si="17"/>
        <v>0.96467850809376621</v>
      </c>
      <c r="T18" s="19">
        <f>IF($H18&gt;0,'Calculation Constants'!$B$9*Hydraulics!$K18^2/2/9.81/MAX($F$4:$F$253)*$H18,"")</f>
        <v>6.3421890311175441E-2</v>
      </c>
      <c r="U18" s="19">
        <f t="shared" si="18"/>
        <v>1.0281003984049417</v>
      </c>
      <c r="V18" s="19">
        <f t="shared" si="4"/>
        <v>0</v>
      </c>
      <c r="W18" s="19">
        <f t="shared" si="5"/>
        <v>25.667598406380648</v>
      </c>
      <c r="X18" s="23">
        <f t="shared" si="6"/>
        <v>1107.5575984063807</v>
      </c>
      <c r="Y18" s="22">
        <f>(1/(2*LOG(3.7*$I18/'Calculation Constants'!$B$3*1000)))^2</f>
        <v>9.7303620360708887E-3</v>
      </c>
      <c r="Z18" s="19">
        <f t="shared" si="7"/>
        <v>1.0826630767363397</v>
      </c>
      <c r="AA18" s="19">
        <f>IF($H18&gt;0,'Calculation Constants'!$B$9*Hydraulics!$K18^2/2/9.81/MAX($F$4:$F$253)*$H18,"")</f>
        <v>6.3421890311175441E-2</v>
      </c>
      <c r="AB18" s="19">
        <f t="shared" si="27"/>
        <v>1.1460849670475151</v>
      </c>
      <c r="AC18" s="19">
        <f t="shared" si="8"/>
        <v>0</v>
      </c>
      <c r="AD18" s="19">
        <f t="shared" si="20"/>
        <v>25.195660131809973</v>
      </c>
      <c r="AE18" s="23">
        <f t="shared" si="9"/>
        <v>1107.0856601318101</v>
      </c>
      <c r="AF18" s="27">
        <f>(1/(2*LOG(3.7*$I18/'Calculation Constants'!$B$4*1000)))^2</f>
        <v>1.1458969193927592E-2</v>
      </c>
      <c r="AG18" s="19">
        <f t="shared" si="10"/>
        <v>1.274999100520025</v>
      </c>
      <c r="AH18" s="19">
        <f>IF($H18&gt;0,'Calculation Constants'!$B$9*Hydraulics!$K18^2/2/9.81/MAX($F$4:$F$253)*$H18,"")</f>
        <v>6.3421890311175441E-2</v>
      </c>
      <c r="AI18" s="19">
        <f t="shared" si="21"/>
        <v>1.3384209908312004</v>
      </c>
      <c r="AJ18" s="19">
        <f t="shared" si="11"/>
        <v>0</v>
      </c>
      <c r="AK18" s="19">
        <f t="shared" si="22"/>
        <v>24.426316036674734</v>
      </c>
      <c r="AL18" s="23">
        <f t="shared" si="12"/>
        <v>1106.3163160366748</v>
      </c>
      <c r="AM18" s="22">
        <f>(1/(2*LOG(3.7*($I18-0.008)/'Calculation Constants'!$B$5*1000)))^2</f>
        <v>1.4542845531075887E-2</v>
      </c>
      <c r="AN18" s="19">
        <f t="shared" si="23"/>
        <v>1.6249731396833385</v>
      </c>
      <c r="AO18" s="19">
        <f>IF($H18&gt;0,'Calculation Constants'!$B$9*Hydraulics!$K18^2/2/9.81/MAX($F$4:$F$253)*$H18,"")</f>
        <v>6.3421890311175441E-2</v>
      </c>
      <c r="AP18" s="19">
        <f t="shared" si="24"/>
        <v>1.6883950299945139</v>
      </c>
      <c r="AQ18" s="19">
        <f t="shared" si="13"/>
        <v>0</v>
      </c>
      <c r="AR18" s="19">
        <f t="shared" si="25"/>
        <v>23.026419880021649</v>
      </c>
      <c r="AS18" s="23">
        <f t="shared" si="14"/>
        <v>1104.9164198800217</v>
      </c>
    </row>
    <row r="19" spans="1:45">
      <c r="E19" s="35" t="str">
        <f t="shared" si="0"/>
        <v/>
      </c>
      <c r="F19" s="19">
        <f>'Profile data'!A19</f>
        <v>32</v>
      </c>
      <c r="G19" s="19">
        <f>VLOOKUP(F19,'Profile data'!A19:C278,IF($B$22="Botswana 1",2,3))</f>
        <v>1077.9369999999999</v>
      </c>
      <c r="H19" s="19">
        <f t="shared" si="26"/>
        <v>2</v>
      </c>
      <c r="I19" s="19">
        <v>1.9</v>
      </c>
      <c r="J19" s="36">
        <f>'Flow Rate Calculations'!$B$7</f>
        <v>4.0831050228310497</v>
      </c>
      <c r="K19" s="36">
        <f t="shared" si="15"/>
        <v>1.440102709245225</v>
      </c>
      <c r="L19" s="37">
        <f>$I19*$K19/'Calculation Constants'!$B$7</f>
        <v>2421411.6350140949</v>
      </c>
      <c r="M19" s="37">
        <f t="shared" si="1"/>
        <v>33.733000000000175</v>
      </c>
      <c r="N19" s="23">
        <f t="shared" si="16"/>
        <v>28.592498007976019</v>
      </c>
      <c r="O19" s="55">
        <f t="shared" si="2"/>
        <v>33.733000000000175</v>
      </c>
      <c r="P19" s="64">
        <f>MAX(I19*1000/'Calculation Constants'!$B$14,O19*10*I19*1000/2/('Calculation Constants'!$B$12*1000*'Calculation Constants'!$B$13))</f>
        <v>11.875</v>
      </c>
      <c r="Q19" s="66">
        <f t="shared" si="3"/>
        <v>1105894.9783427313</v>
      </c>
      <c r="R19" s="27">
        <f>(1/(2*LOG(3.7*$I19/'Calculation Constants'!$B$2*1000)))^2</f>
        <v>8.6699836115820689E-3</v>
      </c>
      <c r="S19" s="19">
        <f t="shared" si="17"/>
        <v>0.96467850809376621</v>
      </c>
      <c r="T19" s="19">
        <f>IF($H19&gt;0,'Calculation Constants'!$B$9*Hydraulics!$K19^2/2/9.81/MAX($F$4:$F$253)*$H19,"")</f>
        <v>6.3421890311175441E-2</v>
      </c>
      <c r="U19" s="19">
        <f t="shared" si="18"/>
        <v>1.0281003984049417</v>
      </c>
      <c r="V19" s="19">
        <f t="shared" si="4"/>
        <v>0</v>
      </c>
      <c r="W19" s="19">
        <f t="shared" si="5"/>
        <v>28.592498007976019</v>
      </c>
      <c r="X19" s="23">
        <f t="shared" si="6"/>
        <v>1106.5294980079759</v>
      </c>
      <c r="Y19" s="22">
        <f>(1/(2*LOG(3.7*$I19/'Calculation Constants'!$B$3*1000)))^2</f>
        <v>9.7303620360708887E-3</v>
      </c>
      <c r="Z19" s="19">
        <f t="shared" si="7"/>
        <v>1.0826630767363397</v>
      </c>
      <c r="AA19" s="19">
        <f>IF($H19&gt;0,'Calculation Constants'!$B$9*Hydraulics!$K19^2/2/9.81/MAX($F$4:$F$253)*$H19,"")</f>
        <v>6.3421890311175441E-2</v>
      </c>
      <c r="AB19" s="19">
        <f t="shared" si="27"/>
        <v>1.1460849670475151</v>
      </c>
      <c r="AC19" s="19">
        <f t="shared" si="8"/>
        <v>0</v>
      </c>
      <c r="AD19" s="19">
        <f t="shared" si="20"/>
        <v>28.002575164762675</v>
      </c>
      <c r="AE19" s="23">
        <f t="shared" si="9"/>
        <v>1105.9395751647626</v>
      </c>
      <c r="AF19" s="27">
        <f>(1/(2*LOG(3.7*$I19/'Calculation Constants'!$B$4*1000)))^2</f>
        <v>1.1458969193927592E-2</v>
      </c>
      <c r="AG19" s="19">
        <f t="shared" si="10"/>
        <v>1.274999100520025</v>
      </c>
      <c r="AH19" s="19">
        <f>IF($H19&gt;0,'Calculation Constants'!$B$9*Hydraulics!$K19^2/2/9.81/MAX($F$4:$F$253)*$H19,"")</f>
        <v>6.3421890311175441E-2</v>
      </c>
      <c r="AI19" s="19">
        <f t="shared" si="21"/>
        <v>1.3384209908312004</v>
      </c>
      <c r="AJ19" s="19">
        <f t="shared" si="11"/>
        <v>0</v>
      </c>
      <c r="AK19" s="19">
        <f t="shared" si="22"/>
        <v>27.040895045843627</v>
      </c>
      <c r="AL19" s="23">
        <f t="shared" si="12"/>
        <v>1104.9778950458435</v>
      </c>
      <c r="AM19" s="22">
        <f>(1/(2*LOG(3.7*($I19-0.008)/'Calculation Constants'!$B$5*1000)))^2</f>
        <v>1.4542845531075887E-2</v>
      </c>
      <c r="AN19" s="19">
        <f t="shared" si="23"/>
        <v>1.6249731396833385</v>
      </c>
      <c r="AO19" s="19">
        <f>IF($H19&gt;0,'Calculation Constants'!$B$9*Hydraulics!$K19^2/2/9.81/MAX($F$4:$F$253)*$H19,"")</f>
        <v>6.3421890311175441E-2</v>
      </c>
      <c r="AP19" s="19">
        <f t="shared" si="24"/>
        <v>1.6883950299945139</v>
      </c>
      <c r="AQ19" s="19">
        <f t="shared" si="13"/>
        <v>0</v>
      </c>
      <c r="AR19" s="19">
        <f t="shared" si="25"/>
        <v>25.29102485002727</v>
      </c>
      <c r="AS19" s="23">
        <f t="shared" si="14"/>
        <v>1103.2280248500272</v>
      </c>
    </row>
    <row r="20" spans="1:45">
      <c r="E20" s="35" t="str">
        <f t="shared" si="0"/>
        <v/>
      </c>
      <c r="F20" s="19">
        <f>'Profile data'!A20</f>
        <v>34</v>
      </c>
      <c r="G20" s="19">
        <f>VLOOKUP(F20,'Profile data'!A20:C279,IF($B$22="Botswana 1",2,3))</f>
        <v>1074.8900000000001</v>
      </c>
      <c r="H20" s="19">
        <f t="shared" si="26"/>
        <v>2</v>
      </c>
      <c r="I20" s="19">
        <v>1.9</v>
      </c>
      <c r="J20" s="36">
        <f>'Flow Rate Calculations'!$B$7</f>
        <v>4.0831050228310497</v>
      </c>
      <c r="K20" s="36">
        <f t="shared" si="15"/>
        <v>1.440102709245225</v>
      </c>
      <c r="L20" s="37">
        <f>$I20*$K20/'Calculation Constants'!$B$7</f>
        <v>2421411.6350140949</v>
      </c>
      <c r="M20" s="37">
        <f t="shared" si="1"/>
        <v>36.779999999999973</v>
      </c>
      <c r="N20" s="23">
        <f t="shared" si="16"/>
        <v>30.611397609570986</v>
      </c>
      <c r="O20" s="55">
        <f t="shared" si="2"/>
        <v>36.779999999999973</v>
      </c>
      <c r="P20" s="64">
        <f>MAX(I20*1000/'Calculation Constants'!$B$14,O20*10*I20*1000/2/('Calculation Constants'!$B$12*1000*'Calculation Constants'!$B$13))</f>
        <v>11.875</v>
      </c>
      <c r="Q20" s="66">
        <f t="shared" si="3"/>
        <v>1105894.9783427313</v>
      </c>
      <c r="R20" s="27">
        <f>(1/(2*LOG(3.7*$I20/'Calculation Constants'!$B$2*1000)))^2</f>
        <v>8.6699836115820689E-3</v>
      </c>
      <c r="S20" s="19">
        <f t="shared" si="17"/>
        <v>0.96467850809376621</v>
      </c>
      <c r="T20" s="19">
        <f>IF($H20&gt;0,'Calculation Constants'!$B$9*Hydraulics!$K20^2/2/9.81/MAX($F$4:$F$253)*$H20,"")</f>
        <v>6.3421890311175441E-2</v>
      </c>
      <c r="U20" s="19">
        <f t="shared" si="18"/>
        <v>1.0281003984049417</v>
      </c>
      <c r="V20" s="19">
        <f t="shared" si="4"/>
        <v>0</v>
      </c>
      <c r="W20" s="19">
        <f t="shared" si="5"/>
        <v>30.611397609570986</v>
      </c>
      <c r="X20" s="23">
        <f t="shared" si="6"/>
        <v>1105.5013976095711</v>
      </c>
      <c r="Y20" s="22">
        <f>(1/(2*LOG(3.7*$I20/'Calculation Constants'!$B$3*1000)))^2</f>
        <v>9.7303620360708887E-3</v>
      </c>
      <c r="Z20" s="19">
        <f t="shared" si="7"/>
        <v>1.0826630767363397</v>
      </c>
      <c r="AA20" s="19">
        <f>IF($H20&gt;0,'Calculation Constants'!$B$9*Hydraulics!$K20^2/2/9.81/MAX($F$4:$F$253)*$H20,"")</f>
        <v>6.3421890311175441E-2</v>
      </c>
      <c r="AB20" s="19">
        <f t="shared" si="27"/>
        <v>1.1460849670475151</v>
      </c>
      <c r="AC20" s="19">
        <f t="shared" si="8"/>
        <v>0</v>
      </c>
      <c r="AD20" s="19">
        <f t="shared" si="20"/>
        <v>29.903490197714973</v>
      </c>
      <c r="AE20" s="23">
        <f t="shared" si="9"/>
        <v>1104.7934901977151</v>
      </c>
      <c r="AF20" s="27">
        <f>(1/(2*LOG(3.7*$I20/'Calculation Constants'!$B$4*1000)))^2</f>
        <v>1.1458969193927592E-2</v>
      </c>
      <c r="AG20" s="19">
        <f t="shared" si="10"/>
        <v>1.274999100520025</v>
      </c>
      <c r="AH20" s="19">
        <f>IF($H20&gt;0,'Calculation Constants'!$B$9*Hydraulics!$K20^2/2/9.81/MAX($F$4:$F$253)*$H20,"")</f>
        <v>6.3421890311175441E-2</v>
      </c>
      <c r="AI20" s="19">
        <f t="shared" si="21"/>
        <v>1.3384209908312004</v>
      </c>
      <c r="AJ20" s="19">
        <f t="shared" si="11"/>
        <v>0</v>
      </c>
      <c r="AK20" s="19">
        <f t="shared" si="22"/>
        <v>28.749474055012115</v>
      </c>
      <c r="AL20" s="23">
        <f t="shared" si="12"/>
        <v>1103.6394740550122</v>
      </c>
      <c r="AM20" s="22">
        <f>(1/(2*LOG(3.7*($I20-0.008)/'Calculation Constants'!$B$5*1000)))^2</f>
        <v>1.4542845531075887E-2</v>
      </c>
      <c r="AN20" s="19">
        <f t="shared" si="23"/>
        <v>1.6249731396833385</v>
      </c>
      <c r="AO20" s="19">
        <f>IF($H20&gt;0,'Calculation Constants'!$B$9*Hydraulics!$K20^2/2/9.81/MAX($F$4:$F$253)*$H20,"")</f>
        <v>6.3421890311175441E-2</v>
      </c>
      <c r="AP20" s="19">
        <f t="shared" si="24"/>
        <v>1.6883950299945139</v>
      </c>
      <c r="AQ20" s="19">
        <f t="shared" si="13"/>
        <v>0</v>
      </c>
      <c r="AR20" s="19">
        <f t="shared" si="25"/>
        <v>26.649629820032487</v>
      </c>
      <c r="AS20" s="23">
        <f t="shared" si="14"/>
        <v>1101.5396298200326</v>
      </c>
    </row>
    <row r="21" spans="1:45" ht="15.75" thickBot="1">
      <c r="E21" s="35" t="str">
        <f t="shared" si="0"/>
        <v/>
      </c>
      <c r="F21" s="19">
        <f>'Profile data'!A21</f>
        <v>36</v>
      </c>
      <c r="G21" s="19">
        <f>VLOOKUP(F21,'Profile data'!A21:C280,IF($B$22="Botswana 1",2,3))</f>
        <v>1071.114</v>
      </c>
      <c r="H21" s="19">
        <f t="shared" si="26"/>
        <v>2</v>
      </c>
      <c r="I21" s="19">
        <v>1.9</v>
      </c>
      <c r="J21" s="36">
        <f>'Flow Rate Calculations'!$B$7</f>
        <v>4.0831050228310497</v>
      </c>
      <c r="K21" s="36">
        <f t="shared" si="15"/>
        <v>1.440102709245225</v>
      </c>
      <c r="L21" s="37">
        <f>$I21*$K21/'Calculation Constants'!$B$7</f>
        <v>2421411.6350140949</v>
      </c>
      <c r="M21" s="37">
        <f t="shared" si="1"/>
        <v>40.55600000000004</v>
      </c>
      <c r="N21" s="23">
        <f t="shared" si="16"/>
        <v>33.359297211166222</v>
      </c>
      <c r="O21" s="55">
        <f t="shared" si="2"/>
        <v>40.55600000000004</v>
      </c>
      <c r="P21" s="64">
        <f>MAX(I21*1000/'Calculation Constants'!$B$14,O21*10*I21*1000/2/('Calculation Constants'!$B$12*1000*'Calculation Constants'!$B$13))</f>
        <v>11.875</v>
      </c>
      <c r="Q21" s="66">
        <f t="shared" si="3"/>
        <v>1105894.9783427313</v>
      </c>
      <c r="R21" s="27">
        <f>(1/(2*LOG(3.7*$I21/'Calculation Constants'!$B$2*1000)))^2</f>
        <v>8.6699836115820689E-3</v>
      </c>
      <c r="S21" s="19">
        <f t="shared" si="17"/>
        <v>0.96467850809376621</v>
      </c>
      <c r="T21" s="19">
        <f>IF($H21&gt;0,'Calculation Constants'!$B$9*Hydraulics!$K21^2/2/9.81/MAX($F$4:$F$253)*$H21,"")</f>
        <v>6.3421890311175441E-2</v>
      </c>
      <c r="U21" s="19">
        <f t="shared" si="18"/>
        <v>1.0281003984049417</v>
      </c>
      <c r="V21" s="19">
        <f t="shared" si="4"/>
        <v>0</v>
      </c>
      <c r="W21" s="19">
        <f t="shared" si="5"/>
        <v>33.359297211166222</v>
      </c>
      <c r="X21" s="23">
        <f t="shared" si="6"/>
        <v>1104.4732972111663</v>
      </c>
      <c r="Y21" s="22">
        <f>(1/(2*LOG(3.7*$I21/'Calculation Constants'!$B$3*1000)))^2</f>
        <v>9.7303620360708887E-3</v>
      </c>
      <c r="Z21" s="19">
        <f t="shared" si="7"/>
        <v>1.0826630767363397</v>
      </c>
      <c r="AA21" s="19">
        <f>IF($H21&gt;0,'Calculation Constants'!$B$9*Hydraulics!$K21^2/2/9.81/MAX($F$4:$F$253)*$H21,"")</f>
        <v>6.3421890311175441E-2</v>
      </c>
      <c r="AB21" s="19">
        <f t="shared" si="27"/>
        <v>1.1460849670475151</v>
      </c>
      <c r="AC21" s="19">
        <f t="shared" si="8"/>
        <v>0</v>
      </c>
      <c r="AD21" s="19">
        <f t="shared" si="20"/>
        <v>32.53340523066754</v>
      </c>
      <c r="AE21" s="23">
        <f t="shared" si="9"/>
        <v>1103.6474052306676</v>
      </c>
      <c r="AF21" s="27">
        <f>(1/(2*LOG(3.7*$I21/'Calculation Constants'!$B$4*1000)))^2</f>
        <v>1.1458969193927592E-2</v>
      </c>
      <c r="AG21" s="19">
        <f t="shared" si="10"/>
        <v>1.274999100520025</v>
      </c>
      <c r="AH21" s="19">
        <f>IF($H21&gt;0,'Calculation Constants'!$B$9*Hydraulics!$K21^2/2/9.81/MAX($F$4:$F$253)*$H21,"")</f>
        <v>6.3421890311175441E-2</v>
      </c>
      <c r="AI21" s="19">
        <f t="shared" si="21"/>
        <v>1.3384209908312004</v>
      </c>
      <c r="AJ21" s="19">
        <f t="shared" si="11"/>
        <v>0</v>
      </c>
      <c r="AK21" s="19">
        <f t="shared" si="22"/>
        <v>31.187053064180873</v>
      </c>
      <c r="AL21" s="23">
        <f t="shared" si="12"/>
        <v>1102.3010530641809</v>
      </c>
      <c r="AM21" s="22">
        <f>(1/(2*LOG(3.7*($I21-0.008)/'Calculation Constants'!$B$5*1000)))^2</f>
        <v>1.4542845531075887E-2</v>
      </c>
      <c r="AN21" s="19">
        <f t="shared" si="23"/>
        <v>1.6249731396833385</v>
      </c>
      <c r="AO21" s="19">
        <f>IF($H21&gt;0,'Calculation Constants'!$B$9*Hydraulics!$K21^2/2/9.81/MAX($F$4:$F$253)*$H21,"")</f>
        <v>6.3421890311175441E-2</v>
      </c>
      <c r="AP21" s="19">
        <f t="shared" si="24"/>
        <v>1.6883950299945139</v>
      </c>
      <c r="AQ21" s="19">
        <f t="shared" si="13"/>
        <v>0</v>
      </c>
      <c r="AR21" s="19">
        <f t="shared" si="25"/>
        <v>28.737234790037974</v>
      </c>
      <c r="AS21" s="23">
        <f t="shared" si="14"/>
        <v>1099.851234790038</v>
      </c>
    </row>
    <row r="22" spans="1:45">
      <c r="A22" s="47" t="s">
        <v>35</v>
      </c>
      <c r="B22" s="48" t="s">
        <v>37</v>
      </c>
      <c r="E22" s="35" t="str">
        <f t="shared" si="0"/>
        <v/>
      </c>
      <c r="F22" s="19">
        <f>'Profile data'!A22</f>
        <v>38</v>
      </c>
      <c r="G22" s="19">
        <f>VLOOKUP(F22,'Profile data'!A22:C281,IF($B$22="Botswana 1",2,3))</f>
        <v>1065.3109999999999</v>
      </c>
      <c r="H22" s="19">
        <f t="shared" si="26"/>
        <v>2</v>
      </c>
      <c r="I22" s="19">
        <v>1.9</v>
      </c>
      <c r="J22" s="36">
        <f>'Flow Rate Calculations'!$B$7</f>
        <v>4.0831050228310497</v>
      </c>
      <c r="K22" s="36">
        <f t="shared" si="15"/>
        <v>1.440102709245225</v>
      </c>
      <c r="L22" s="37">
        <f>$I22*$K22/'Calculation Constants'!$B$7</f>
        <v>2421411.6350140949</v>
      </c>
      <c r="M22" s="37">
        <f t="shared" si="1"/>
        <v>46.359000000000151</v>
      </c>
      <c r="N22" s="23">
        <f t="shared" si="16"/>
        <v>38.134196812761502</v>
      </c>
      <c r="O22" s="55">
        <f t="shared" si="2"/>
        <v>46.359000000000151</v>
      </c>
      <c r="P22" s="64">
        <f>MAX(I22*1000/'Calculation Constants'!$B$14,O22*10*I22*1000/2/('Calculation Constants'!$B$12*1000*'Calculation Constants'!$B$13))</f>
        <v>11.875</v>
      </c>
      <c r="Q22" s="66">
        <f t="shared" si="3"/>
        <v>1105894.9783427313</v>
      </c>
      <c r="R22" s="27">
        <f>(1/(2*LOG(3.7*$I22/'Calculation Constants'!$B$2*1000)))^2</f>
        <v>8.6699836115820689E-3</v>
      </c>
      <c r="S22" s="19">
        <f t="shared" si="17"/>
        <v>0.96467850809376621</v>
      </c>
      <c r="T22" s="19">
        <f>IF($H22&gt;0,'Calculation Constants'!$B$9*Hydraulics!$K22^2/2/9.81/MAX($F$4:$F$253)*$H22,"")</f>
        <v>6.3421890311175441E-2</v>
      </c>
      <c r="U22" s="19">
        <f t="shared" si="18"/>
        <v>1.0281003984049417</v>
      </c>
      <c r="V22" s="19">
        <f t="shared" si="4"/>
        <v>0</v>
      </c>
      <c r="W22" s="19">
        <f t="shared" si="5"/>
        <v>38.134196812761502</v>
      </c>
      <c r="X22" s="23">
        <f t="shared" si="6"/>
        <v>1103.4451968127614</v>
      </c>
      <c r="Y22" s="22">
        <f>(1/(2*LOG(3.7*$I22/'Calculation Constants'!$B$3*1000)))^2</f>
        <v>9.7303620360708887E-3</v>
      </c>
      <c r="Z22" s="19">
        <f t="shared" si="7"/>
        <v>1.0826630767363397</v>
      </c>
      <c r="AA22" s="19">
        <f>IF($H22&gt;0,'Calculation Constants'!$B$9*Hydraulics!$K22^2/2/9.81/MAX($F$4:$F$253)*$H22,"")</f>
        <v>6.3421890311175441E-2</v>
      </c>
      <c r="AB22" s="19">
        <f t="shared" si="27"/>
        <v>1.1460849670475151</v>
      </c>
      <c r="AC22" s="19">
        <f t="shared" si="8"/>
        <v>0</v>
      </c>
      <c r="AD22" s="19">
        <f t="shared" si="20"/>
        <v>37.190320263620151</v>
      </c>
      <c r="AE22" s="23">
        <f t="shared" si="9"/>
        <v>1102.5013202636201</v>
      </c>
      <c r="AF22" s="27">
        <f>(1/(2*LOG(3.7*$I22/'Calculation Constants'!$B$4*1000)))^2</f>
        <v>1.1458969193927592E-2</v>
      </c>
      <c r="AG22" s="19">
        <f t="shared" si="10"/>
        <v>1.274999100520025</v>
      </c>
      <c r="AH22" s="19">
        <f>IF($H22&gt;0,'Calculation Constants'!$B$9*Hydraulics!$K22^2/2/9.81/MAX($F$4:$F$253)*$H22,"")</f>
        <v>6.3421890311175441E-2</v>
      </c>
      <c r="AI22" s="19">
        <f t="shared" si="21"/>
        <v>1.3384209908312004</v>
      </c>
      <c r="AJ22" s="19">
        <f t="shared" si="11"/>
        <v>0</v>
      </c>
      <c r="AK22" s="19">
        <f t="shared" si="22"/>
        <v>35.651632073349674</v>
      </c>
      <c r="AL22" s="23">
        <f t="shared" si="12"/>
        <v>1100.9626320733496</v>
      </c>
      <c r="AM22" s="22">
        <f>(1/(2*LOG(3.7*($I22-0.008)/'Calculation Constants'!$B$5*1000)))^2</f>
        <v>1.4542845531075887E-2</v>
      </c>
      <c r="AN22" s="19">
        <f t="shared" si="23"/>
        <v>1.6249731396833385</v>
      </c>
      <c r="AO22" s="19">
        <f>IF($H22&gt;0,'Calculation Constants'!$B$9*Hydraulics!$K22^2/2/9.81/MAX($F$4:$F$253)*$H22,"")</f>
        <v>6.3421890311175441E-2</v>
      </c>
      <c r="AP22" s="19">
        <f t="shared" si="24"/>
        <v>1.6883950299945139</v>
      </c>
      <c r="AQ22" s="19">
        <f t="shared" si="13"/>
        <v>0</v>
      </c>
      <c r="AR22" s="19">
        <f t="shared" si="25"/>
        <v>32.851839760043504</v>
      </c>
      <c r="AS22" s="23">
        <f t="shared" si="14"/>
        <v>1098.1628397600434</v>
      </c>
    </row>
    <row r="23" spans="1:45" ht="15.75" thickBot="1">
      <c r="A23" s="49" t="s">
        <v>38</v>
      </c>
      <c r="B23" s="50" t="s">
        <v>91</v>
      </c>
      <c r="E23" s="35" t="str">
        <f t="shared" si="0"/>
        <v/>
      </c>
      <c r="F23" s="19">
        <f>'Profile data'!A23</f>
        <v>40</v>
      </c>
      <c r="G23" s="19">
        <f>VLOOKUP(F23,'Profile data'!A23:C282,IF($B$22="Botswana 1",2,3))</f>
        <v>1059.0509999999999</v>
      </c>
      <c r="H23" s="19">
        <f t="shared" si="26"/>
        <v>2</v>
      </c>
      <c r="I23" s="19">
        <v>1.9</v>
      </c>
      <c r="J23" s="36">
        <f>'Flow Rate Calculations'!$B$7</f>
        <v>4.0831050228310497</v>
      </c>
      <c r="K23" s="36">
        <f t="shared" si="15"/>
        <v>1.440102709245225</v>
      </c>
      <c r="L23" s="37">
        <f>$I23*$K23/'Calculation Constants'!$B$7</f>
        <v>2421411.6350140949</v>
      </c>
      <c r="M23" s="37">
        <f t="shared" si="1"/>
        <v>52.619000000000142</v>
      </c>
      <c r="N23" s="23">
        <f t="shared" si="16"/>
        <v>43.366096414356662</v>
      </c>
      <c r="O23" s="55">
        <f t="shared" si="2"/>
        <v>52.619000000000142</v>
      </c>
      <c r="P23" s="64">
        <f>MAX(I23*1000/'Calculation Constants'!$B$14,O23*10*I23*1000/2/('Calculation Constants'!$B$12*1000*'Calculation Constants'!$B$13))</f>
        <v>11.875</v>
      </c>
      <c r="Q23" s="66">
        <f t="shared" si="3"/>
        <v>1105894.9783427313</v>
      </c>
      <c r="R23" s="27">
        <f>(1/(2*LOG(3.7*$I23/'Calculation Constants'!$B$2*1000)))^2</f>
        <v>8.6699836115820689E-3</v>
      </c>
      <c r="S23" s="19">
        <f t="shared" si="17"/>
        <v>0.96467850809376621</v>
      </c>
      <c r="T23" s="19">
        <f>IF($H23&gt;0,'Calculation Constants'!$B$9*Hydraulics!$K23^2/2/9.81/MAX($F$4:$F$253)*$H23,"")</f>
        <v>6.3421890311175441E-2</v>
      </c>
      <c r="U23" s="19">
        <f t="shared" si="18"/>
        <v>1.0281003984049417</v>
      </c>
      <c r="V23" s="19">
        <f t="shared" si="4"/>
        <v>0</v>
      </c>
      <c r="W23" s="19">
        <f t="shared" si="5"/>
        <v>43.366096414356662</v>
      </c>
      <c r="X23" s="23">
        <f t="shared" si="6"/>
        <v>1102.4170964143566</v>
      </c>
      <c r="Y23" s="22">
        <f>(1/(2*LOG(3.7*$I23/'Calculation Constants'!$B$3*1000)))^2</f>
        <v>9.7303620360708887E-3</v>
      </c>
      <c r="Z23" s="19">
        <f t="shared" si="7"/>
        <v>1.0826630767363397</v>
      </c>
      <c r="AA23" s="19">
        <f>IF($H23&gt;0,'Calculation Constants'!$B$9*Hydraulics!$K23^2/2/9.81/MAX($F$4:$F$253)*$H23,"")</f>
        <v>6.3421890311175441E-2</v>
      </c>
      <c r="AB23" s="19">
        <f t="shared" si="27"/>
        <v>1.1460849670475151</v>
      </c>
      <c r="AC23" s="19">
        <f t="shared" si="8"/>
        <v>0</v>
      </c>
      <c r="AD23" s="19">
        <f t="shared" si="20"/>
        <v>42.304235296572642</v>
      </c>
      <c r="AE23" s="23">
        <f t="shared" si="9"/>
        <v>1101.3552352965726</v>
      </c>
      <c r="AF23" s="27">
        <f>(1/(2*LOG(3.7*$I23/'Calculation Constants'!$B$4*1000)))^2</f>
        <v>1.1458969193927592E-2</v>
      </c>
      <c r="AG23" s="19">
        <f t="shared" si="10"/>
        <v>1.274999100520025</v>
      </c>
      <c r="AH23" s="19">
        <f>IF($H23&gt;0,'Calculation Constants'!$B$9*Hydraulics!$K23^2/2/9.81/MAX($F$4:$F$253)*$H23,"")</f>
        <v>6.3421890311175441E-2</v>
      </c>
      <c r="AI23" s="19">
        <f t="shared" si="21"/>
        <v>1.3384209908312004</v>
      </c>
      <c r="AJ23" s="19">
        <f t="shared" si="11"/>
        <v>0</v>
      </c>
      <c r="AK23" s="19">
        <f t="shared" si="22"/>
        <v>40.573211082518355</v>
      </c>
      <c r="AL23" s="23">
        <f t="shared" si="12"/>
        <v>1099.6242110825183</v>
      </c>
      <c r="AM23" s="22">
        <f>(1/(2*LOG(3.7*($I23-0.008)/'Calculation Constants'!$B$5*1000)))^2</f>
        <v>1.4542845531075887E-2</v>
      </c>
      <c r="AN23" s="19">
        <f t="shared" si="23"/>
        <v>1.6249731396833385</v>
      </c>
      <c r="AO23" s="19">
        <f>IF($H23&gt;0,'Calculation Constants'!$B$9*Hydraulics!$K23^2/2/9.81/MAX($F$4:$F$253)*$H23,"")</f>
        <v>6.3421890311175441E-2</v>
      </c>
      <c r="AP23" s="19">
        <f t="shared" si="24"/>
        <v>1.6883950299945139</v>
      </c>
      <c r="AQ23" s="19">
        <f t="shared" si="13"/>
        <v>0</v>
      </c>
      <c r="AR23" s="19">
        <f t="shared" si="25"/>
        <v>37.423444730048914</v>
      </c>
      <c r="AS23" s="23">
        <f t="shared" si="14"/>
        <v>1096.4744447300488</v>
      </c>
    </row>
    <row r="24" spans="1:45">
      <c r="E24" s="35" t="str">
        <f t="shared" si="0"/>
        <v/>
      </c>
      <c r="F24" s="19">
        <f>'Profile data'!A24</f>
        <v>42</v>
      </c>
      <c r="G24" s="19">
        <f>VLOOKUP(F24,'Profile data'!A24:C283,IF($B$22="Botswana 1",2,3))</f>
        <v>1054.28</v>
      </c>
      <c r="H24" s="19">
        <f t="shared" si="26"/>
        <v>2</v>
      </c>
      <c r="I24" s="19">
        <v>1.9</v>
      </c>
      <c r="J24" s="36">
        <f>'Flow Rate Calculations'!$B$7</f>
        <v>4.0831050228310497</v>
      </c>
      <c r="K24" s="36">
        <f t="shared" si="15"/>
        <v>1.440102709245225</v>
      </c>
      <c r="L24" s="37">
        <f>$I24*$K24/'Calculation Constants'!$B$7</f>
        <v>2421411.6350140949</v>
      </c>
      <c r="M24" s="37">
        <f t="shared" si="1"/>
        <v>57.3900000000001</v>
      </c>
      <c r="N24" s="23">
        <f t="shared" si="16"/>
        <v>47.108996015951789</v>
      </c>
      <c r="O24" s="55">
        <f t="shared" si="2"/>
        <v>57.3900000000001</v>
      </c>
      <c r="P24" s="64">
        <f>MAX(I24*1000/'Calculation Constants'!$B$14,O24*10*I24*1000/2/('Calculation Constants'!$B$12*1000*'Calculation Constants'!$B$13))</f>
        <v>11.875</v>
      </c>
      <c r="Q24" s="66">
        <f t="shared" si="3"/>
        <v>1105894.9783427313</v>
      </c>
      <c r="R24" s="27">
        <f>(1/(2*LOG(3.7*$I24/'Calculation Constants'!$B$2*1000)))^2</f>
        <v>8.6699836115820689E-3</v>
      </c>
      <c r="S24" s="19">
        <f t="shared" si="17"/>
        <v>0.96467850809376621</v>
      </c>
      <c r="T24" s="19">
        <f>IF($H24&gt;0,'Calculation Constants'!$B$9*Hydraulics!$K24^2/2/9.81/MAX($F$4:$F$253)*$H24,"")</f>
        <v>6.3421890311175441E-2</v>
      </c>
      <c r="U24" s="19">
        <f t="shared" si="18"/>
        <v>1.0281003984049417</v>
      </c>
      <c r="V24" s="19">
        <f t="shared" si="4"/>
        <v>0</v>
      </c>
      <c r="W24" s="19">
        <f t="shared" si="5"/>
        <v>47.108996015951789</v>
      </c>
      <c r="X24" s="23">
        <f t="shared" si="6"/>
        <v>1101.3889960159518</v>
      </c>
      <c r="Y24" s="22">
        <f>(1/(2*LOG(3.7*$I24/'Calculation Constants'!$B$3*1000)))^2</f>
        <v>9.7303620360708887E-3</v>
      </c>
      <c r="Z24" s="19">
        <f t="shared" si="7"/>
        <v>1.0826630767363397</v>
      </c>
      <c r="AA24" s="19">
        <f>IF($H24&gt;0,'Calculation Constants'!$B$9*Hydraulics!$K24^2/2/9.81/MAX($F$4:$F$253)*$H24,"")</f>
        <v>6.3421890311175441E-2</v>
      </c>
      <c r="AB24" s="19">
        <f t="shared" si="27"/>
        <v>1.1460849670475151</v>
      </c>
      <c r="AC24" s="19">
        <f t="shared" si="8"/>
        <v>0</v>
      </c>
      <c r="AD24" s="19">
        <f t="shared" si="20"/>
        <v>45.9291503295251</v>
      </c>
      <c r="AE24" s="23">
        <f t="shared" si="9"/>
        <v>1100.2091503295251</v>
      </c>
      <c r="AF24" s="27">
        <f>(1/(2*LOG(3.7*$I24/'Calculation Constants'!$B$4*1000)))^2</f>
        <v>1.1458969193927592E-2</v>
      </c>
      <c r="AG24" s="19">
        <f t="shared" si="10"/>
        <v>1.274999100520025</v>
      </c>
      <c r="AH24" s="19">
        <f>IF($H24&gt;0,'Calculation Constants'!$B$9*Hydraulics!$K24^2/2/9.81/MAX($F$4:$F$253)*$H24,"")</f>
        <v>6.3421890311175441E-2</v>
      </c>
      <c r="AI24" s="19">
        <f t="shared" si="21"/>
        <v>1.3384209908312004</v>
      </c>
      <c r="AJ24" s="19">
        <f t="shared" si="11"/>
        <v>0</v>
      </c>
      <c r="AK24" s="19">
        <f t="shared" si="22"/>
        <v>44.005790091687004</v>
      </c>
      <c r="AL24" s="23">
        <f t="shared" si="12"/>
        <v>1098.285790091687</v>
      </c>
      <c r="AM24" s="22">
        <f>(1/(2*LOG(3.7*($I24-0.008)/'Calculation Constants'!$B$5*1000)))^2</f>
        <v>1.4542845531075887E-2</v>
      </c>
      <c r="AN24" s="19">
        <f t="shared" si="23"/>
        <v>1.6249731396833385</v>
      </c>
      <c r="AO24" s="19">
        <f>IF($H24&gt;0,'Calculation Constants'!$B$9*Hydraulics!$K24^2/2/9.81/MAX($F$4:$F$253)*$H24,"")</f>
        <v>6.3421890311175441E-2</v>
      </c>
      <c r="AP24" s="19">
        <f t="shared" si="24"/>
        <v>1.6883950299945139</v>
      </c>
      <c r="AQ24" s="19">
        <f t="shared" si="13"/>
        <v>0</v>
      </c>
      <c r="AR24" s="19">
        <f t="shared" si="25"/>
        <v>40.506049700054291</v>
      </c>
      <c r="AS24" s="23">
        <f t="shared" si="14"/>
        <v>1094.7860497000543</v>
      </c>
    </row>
    <row r="25" spans="1:45">
      <c r="E25" s="35" t="str">
        <f t="shared" si="0"/>
        <v/>
      </c>
      <c r="F25" s="19">
        <f>'Profile data'!A25</f>
        <v>44</v>
      </c>
      <c r="G25" s="19">
        <f>VLOOKUP(F25,'Profile data'!A25:C284,IF($B$22="Botswana 1",2,3))</f>
        <v>1053.8710000000001</v>
      </c>
      <c r="H25" s="19">
        <f t="shared" si="26"/>
        <v>2</v>
      </c>
      <c r="I25" s="19">
        <v>1.9</v>
      </c>
      <c r="J25" s="36">
        <f>'Flow Rate Calculations'!$B$7</f>
        <v>4.0831050228310497</v>
      </c>
      <c r="K25" s="36">
        <f t="shared" si="15"/>
        <v>1.440102709245225</v>
      </c>
      <c r="L25" s="37">
        <f>$I25*$K25/'Calculation Constants'!$B$7</f>
        <v>2421411.6350140949</v>
      </c>
      <c r="M25" s="37">
        <f t="shared" si="1"/>
        <v>57.798999999999978</v>
      </c>
      <c r="N25" s="23">
        <f t="shared" si="16"/>
        <v>46.489895617546836</v>
      </c>
      <c r="O25" s="55">
        <f t="shared" si="2"/>
        <v>57.798999999999978</v>
      </c>
      <c r="P25" s="64">
        <f>MAX(I25*1000/'Calculation Constants'!$B$14,O25*10*I25*1000/2/('Calculation Constants'!$B$12*1000*'Calculation Constants'!$B$13))</f>
        <v>11.875</v>
      </c>
      <c r="Q25" s="66">
        <f t="shared" si="3"/>
        <v>1105894.9783427313</v>
      </c>
      <c r="R25" s="27">
        <f>(1/(2*LOG(3.7*$I25/'Calculation Constants'!$B$2*1000)))^2</f>
        <v>8.6699836115820689E-3</v>
      </c>
      <c r="S25" s="19">
        <f t="shared" si="17"/>
        <v>0.96467850809376621</v>
      </c>
      <c r="T25" s="19">
        <f>IF($H25&gt;0,'Calculation Constants'!$B$9*Hydraulics!$K25^2/2/9.81/MAX($F$4:$F$253)*$H25,"")</f>
        <v>6.3421890311175441E-2</v>
      </c>
      <c r="U25" s="19">
        <f t="shared" si="18"/>
        <v>1.0281003984049417</v>
      </c>
      <c r="V25" s="19">
        <f t="shared" si="4"/>
        <v>0</v>
      </c>
      <c r="W25" s="19">
        <f t="shared" si="5"/>
        <v>46.489895617546836</v>
      </c>
      <c r="X25" s="23">
        <f t="shared" si="6"/>
        <v>1100.3608956175469</v>
      </c>
      <c r="Y25" s="22">
        <f>(1/(2*LOG(3.7*$I25/'Calculation Constants'!$B$3*1000)))^2</f>
        <v>9.7303620360708887E-3</v>
      </c>
      <c r="Z25" s="19">
        <f t="shared" si="7"/>
        <v>1.0826630767363397</v>
      </c>
      <c r="AA25" s="19">
        <f>IF($H25&gt;0,'Calculation Constants'!$B$9*Hydraulics!$K25^2/2/9.81/MAX($F$4:$F$253)*$H25,"")</f>
        <v>6.3421890311175441E-2</v>
      </c>
      <c r="AB25" s="19">
        <f t="shared" si="27"/>
        <v>1.1460849670475151</v>
      </c>
      <c r="AC25" s="19">
        <f t="shared" si="8"/>
        <v>0</v>
      </c>
      <c r="AD25" s="19">
        <f t="shared" si="20"/>
        <v>45.192065362477479</v>
      </c>
      <c r="AE25" s="23">
        <f t="shared" si="9"/>
        <v>1099.0630653624776</v>
      </c>
      <c r="AF25" s="27">
        <f>(1/(2*LOG(3.7*$I25/'Calculation Constants'!$B$4*1000)))^2</f>
        <v>1.1458969193927592E-2</v>
      </c>
      <c r="AG25" s="19">
        <f t="shared" si="10"/>
        <v>1.274999100520025</v>
      </c>
      <c r="AH25" s="19">
        <f>IF($H25&gt;0,'Calculation Constants'!$B$9*Hydraulics!$K25^2/2/9.81/MAX($F$4:$F$253)*$H25,"")</f>
        <v>6.3421890311175441E-2</v>
      </c>
      <c r="AI25" s="19">
        <f t="shared" si="21"/>
        <v>1.3384209908312004</v>
      </c>
      <c r="AJ25" s="19">
        <f t="shared" si="11"/>
        <v>0</v>
      </c>
      <c r="AK25" s="19">
        <f t="shared" si="22"/>
        <v>43.076369100855572</v>
      </c>
      <c r="AL25" s="23">
        <f t="shared" si="12"/>
        <v>1096.9473691008557</v>
      </c>
      <c r="AM25" s="22">
        <f>(1/(2*LOG(3.7*($I25-0.008)/'Calculation Constants'!$B$5*1000)))^2</f>
        <v>1.4542845531075887E-2</v>
      </c>
      <c r="AN25" s="19">
        <f t="shared" si="23"/>
        <v>1.6249731396833385</v>
      </c>
      <c r="AO25" s="19">
        <f>IF($H25&gt;0,'Calculation Constants'!$B$9*Hydraulics!$K25^2/2/9.81/MAX($F$4:$F$253)*$H25,"")</f>
        <v>6.3421890311175441E-2</v>
      </c>
      <c r="AP25" s="19">
        <f t="shared" si="24"/>
        <v>1.6883950299945139</v>
      </c>
      <c r="AQ25" s="19">
        <f t="shared" si="13"/>
        <v>0</v>
      </c>
      <c r="AR25" s="19">
        <f t="shared" si="25"/>
        <v>39.226654670059588</v>
      </c>
      <c r="AS25" s="23">
        <f t="shared" si="14"/>
        <v>1093.0976546700597</v>
      </c>
    </row>
    <row r="26" spans="1:45">
      <c r="E26" s="35" t="str">
        <f t="shared" si="0"/>
        <v/>
      </c>
      <c r="F26" s="19">
        <f>'Profile data'!A26</f>
        <v>46</v>
      </c>
      <c r="G26" s="19">
        <f>VLOOKUP(F26,'Profile data'!A26:C285,IF($B$22="Botswana 1",2,3))</f>
        <v>1050.42</v>
      </c>
      <c r="H26" s="19">
        <f t="shared" si="26"/>
        <v>2</v>
      </c>
      <c r="I26" s="19">
        <v>1.9</v>
      </c>
      <c r="J26" s="36">
        <f>'Flow Rate Calculations'!$B$7</f>
        <v>4.0831050228310497</v>
      </c>
      <c r="K26" s="36">
        <f t="shared" si="15"/>
        <v>1.440102709245225</v>
      </c>
      <c r="L26" s="37">
        <f>$I26*$K26/'Calculation Constants'!$B$7</f>
        <v>2421411.6350140949</v>
      </c>
      <c r="M26" s="37">
        <f t="shared" si="1"/>
        <v>61.25</v>
      </c>
      <c r="N26" s="23">
        <f t="shared" si="16"/>
        <v>48.912795219142026</v>
      </c>
      <c r="O26" s="55">
        <f t="shared" si="2"/>
        <v>61.25</v>
      </c>
      <c r="P26" s="64">
        <f>MAX(I26*1000/'Calculation Constants'!$B$14,O26*10*I26*1000/2/('Calculation Constants'!$B$12*1000*'Calculation Constants'!$B$13))</f>
        <v>11.875</v>
      </c>
      <c r="Q26" s="66">
        <f t="shared" si="3"/>
        <v>1105894.9783427313</v>
      </c>
      <c r="R26" s="27">
        <f>(1/(2*LOG(3.7*$I26/'Calculation Constants'!$B$2*1000)))^2</f>
        <v>8.6699836115820689E-3</v>
      </c>
      <c r="S26" s="19">
        <f t="shared" si="17"/>
        <v>0.96467850809376621</v>
      </c>
      <c r="T26" s="19">
        <f>IF($H26&gt;0,'Calculation Constants'!$B$9*Hydraulics!$K26^2/2/9.81/MAX($F$4:$F$253)*$H26,"")</f>
        <v>6.3421890311175441E-2</v>
      </c>
      <c r="U26" s="19">
        <f t="shared" si="18"/>
        <v>1.0281003984049417</v>
      </c>
      <c r="V26" s="19">
        <f t="shared" si="4"/>
        <v>0</v>
      </c>
      <c r="W26" s="19">
        <f t="shared" si="5"/>
        <v>48.912795219142026</v>
      </c>
      <c r="X26" s="23">
        <f t="shared" si="6"/>
        <v>1099.3327952191421</v>
      </c>
      <c r="Y26" s="22">
        <f>(1/(2*LOG(3.7*$I26/'Calculation Constants'!$B$3*1000)))^2</f>
        <v>9.7303620360708887E-3</v>
      </c>
      <c r="Z26" s="19">
        <f t="shared" si="7"/>
        <v>1.0826630767363397</v>
      </c>
      <c r="AA26" s="19">
        <f>IF($H26&gt;0,'Calculation Constants'!$B$9*Hydraulics!$K26^2/2/9.81/MAX($F$4:$F$253)*$H26,"")</f>
        <v>6.3421890311175441E-2</v>
      </c>
      <c r="AB26" s="19">
        <f t="shared" si="27"/>
        <v>1.1460849670475151</v>
      </c>
      <c r="AC26" s="19">
        <f t="shared" si="8"/>
        <v>0</v>
      </c>
      <c r="AD26" s="19">
        <f t="shared" si="20"/>
        <v>47.49698039543</v>
      </c>
      <c r="AE26" s="23">
        <f t="shared" si="9"/>
        <v>1097.9169803954301</v>
      </c>
      <c r="AF26" s="27">
        <f>(1/(2*LOG(3.7*$I26/'Calculation Constants'!$B$4*1000)))^2</f>
        <v>1.1458969193927592E-2</v>
      </c>
      <c r="AG26" s="19">
        <f t="shared" si="10"/>
        <v>1.274999100520025</v>
      </c>
      <c r="AH26" s="19">
        <f>IF($H26&gt;0,'Calculation Constants'!$B$9*Hydraulics!$K26^2/2/9.81/MAX($F$4:$F$253)*$H26,"")</f>
        <v>6.3421890311175441E-2</v>
      </c>
      <c r="AI26" s="19">
        <f t="shared" si="21"/>
        <v>1.3384209908312004</v>
      </c>
      <c r="AJ26" s="19">
        <f t="shared" si="11"/>
        <v>0</v>
      </c>
      <c r="AK26" s="19">
        <f t="shared" si="22"/>
        <v>45.188948110024285</v>
      </c>
      <c r="AL26" s="23">
        <f t="shared" si="12"/>
        <v>1095.6089481100244</v>
      </c>
      <c r="AM26" s="22">
        <f>(1/(2*LOG(3.7*($I26-0.008)/'Calculation Constants'!$B$5*1000)))^2</f>
        <v>1.4542845531075887E-2</v>
      </c>
      <c r="AN26" s="19">
        <f t="shared" si="23"/>
        <v>1.6249731396833385</v>
      </c>
      <c r="AO26" s="19">
        <f>IF($H26&gt;0,'Calculation Constants'!$B$9*Hydraulics!$K26^2/2/9.81/MAX($F$4:$F$253)*$H26,"")</f>
        <v>6.3421890311175441E-2</v>
      </c>
      <c r="AP26" s="19">
        <f t="shared" si="24"/>
        <v>1.6883950299945139</v>
      </c>
      <c r="AQ26" s="19">
        <f t="shared" si="13"/>
        <v>0</v>
      </c>
      <c r="AR26" s="19">
        <f t="shared" si="25"/>
        <v>40.989259640065029</v>
      </c>
      <c r="AS26" s="23">
        <f t="shared" si="14"/>
        <v>1091.4092596400651</v>
      </c>
    </row>
    <row r="27" spans="1:45">
      <c r="E27" s="35" t="str">
        <f t="shared" si="0"/>
        <v/>
      </c>
      <c r="F27" s="19">
        <f>'Profile data'!A27</f>
        <v>48</v>
      </c>
      <c r="G27" s="19">
        <f>VLOOKUP(F27,'Profile data'!A27:C286,IF($B$22="Botswana 1",2,3))</f>
        <v>1052.704</v>
      </c>
      <c r="H27" s="19">
        <f t="shared" si="26"/>
        <v>2</v>
      </c>
      <c r="I27" s="19">
        <v>1.9</v>
      </c>
      <c r="J27" s="36">
        <f>'Flow Rate Calculations'!$B$7</f>
        <v>4.0831050228310497</v>
      </c>
      <c r="K27" s="36">
        <f t="shared" si="15"/>
        <v>1.440102709245225</v>
      </c>
      <c r="L27" s="37">
        <f>$I27*$K27/'Calculation Constants'!$B$7</f>
        <v>2421411.6350140949</v>
      </c>
      <c r="M27" s="37">
        <f t="shared" si="1"/>
        <v>58.966000000000122</v>
      </c>
      <c r="N27" s="23">
        <f t="shared" si="16"/>
        <v>45.600694820737317</v>
      </c>
      <c r="O27" s="55">
        <f t="shared" si="2"/>
        <v>58.966000000000122</v>
      </c>
      <c r="P27" s="64">
        <f>MAX(I27*1000/'Calculation Constants'!$B$14,O27*10*I27*1000/2/('Calculation Constants'!$B$12*1000*'Calculation Constants'!$B$13))</f>
        <v>11.875</v>
      </c>
      <c r="Q27" s="66">
        <f t="shared" si="3"/>
        <v>1105894.9783427313</v>
      </c>
      <c r="R27" s="27">
        <f>(1/(2*LOG(3.7*$I27/'Calculation Constants'!$B$2*1000)))^2</f>
        <v>8.6699836115820689E-3</v>
      </c>
      <c r="S27" s="19">
        <f t="shared" si="17"/>
        <v>0.96467850809376621</v>
      </c>
      <c r="T27" s="19">
        <f>IF($H27&gt;0,'Calculation Constants'!$B$9*Hydraulics!$K27^2/2/9.81/MAX($F$4:$F$253)*$H27,"")</f>
        <v>6.3421890311175441E-2</v>
      </c>
      <c r="U27" s="19">
        <f t="shared" si="18"/>
        <v>1.0281003984049417</v>
      </c>
      <c r="V27" s="19">
        <f t="shared" si="4"/>
        <v>0</v>
      </c>
      <c r="W27" s="19">
        <f t="shared" si="5"/>
        <v>45.600694820737317</v>
      </c>
      <c r="X27" s="23">
        <f t="shared" si="6"/>
        <v>1098.3046948207373</v>
      </c>
      <c r="Y27" s="22">
        <f>(1/(2*LOG(3.7*$I27/'Calculation Constants'!$B$3*1000)))^2</f>
        <v>9.7303620360708887E-3</v>
      </c>
      <c r="Z27" s="19">
        <f t="shared" si="7"/>
        <v>1.0826630767363397</v>
      </c>
      <c r="AA27" s="19">
        <f>IF($H27&gt;0,'Calculation Constants'!$B$9*Hydraulics!$K27^2/2/9.81/MAX($F$4:$F$253)*$H27,"")</f>
        <v>6.3421890311175441E-2</v>
      </c>
      <c r="AB27" s="19">
        <f t="shared" si="27"/>
        <v>1.1460849670475151</v>
      </c>
      <c r="AC27" s="19">
        <f t="shared" si="8"/>
        <v>0</v>
      </c>
      <c r="AD27" s="19">
        <f t="shared" si="20"/>
        <v>44.066895428382622</v>
      </c>
      <c r="AE27" s="23">
        <f t="shared" si="9"/>
        <v>1096.7708954283826</v>
      </c>
      <c r="AF27" s="27">
        <f>(1/(2*LOG(3.7*$I27/'Calculation Constants'!$B$4*1000)))^2</f>
        <v>1.1458969193927592E-2</v>
      </c>
      <c r="AG27" s="19">
        <f t="shared" si="10"/>
        <v>1.274999100520025</v>
      </c>
      <c r="AH27" s="19">
        <f>IF($H27&gt;0,'Calculation Constants'!$B$9*Hydraulics!$K27^2/2/9.81/MAX($F$4:$F$253)*$H27,"")</f>
        <v>6.3421890311175441E-2</v>
      </c>
      <c r="AI27" s="19">
        <f t="shared" si="21"/>
        <v>1.3384209908312004</v>
      </c>
      <c r="AJ27" s="19">
        <f t="shared" si="11"/>
        <v>0</v>
      </c>
      <c r="AK27" s="19">
        <f t="shared" si="22"/>
        <v>41.566527119193097</v>
      </c>
      <c r="AL27" s="23">
        <f t="shared" si="12"/>
        <v>1094.270527119193</v>
      </c>
      <c r="AM27" s="22">
        <f>(1/(2*LOG(3.7*($I27-0.008)/'Calculation Constants'!$B$5*1000)))^2</f>
        <v>1.4542845531075887E-2</v>
      </c>
      <c r="AN27" s="19">
        <f t="shared" si="23"/>
        <v>1.6249731396833385</v>
      </c>
      <c r="AO27" s="19">
        <f>IF($H27&gt;0,'Calculation Constants'!$B$9*Hydraulics!$K27^2/2/9.81/MAX($F$4:$F$253)*$H27,"")</f>
        <v>6.3421890311175441E-2</v>
      </c>
      <c r="AP27" s="19">
        <f t="shared" si="24"/>
        <v>1.6883950299945139</v>
      </c>
      <c r="AQ27" s="19">
        <f t="shared" si="13"/>
        <v>0</v>
      </c>
      <c r="AR27" s="19">
        <f t="shared" si="25"/>
        <v>37.01686461007057</v>
      </c>
      <c r="AS27" s="23">
        <f t="shared" si="14"/>
        <v>1089.7208646100705</v>
      </c>
    </row>
    <row r="28" spans="1:45" ht="18.75">
      <c r="A28" s="53"/>
      <c r="E28" s="35" t="str">
        <f t="shared" si="0"/>
        <v/>
      </c>
      <c r="F28" s="19">
        <f>'Profile data'!A28</f>
        <v>50</v>
      </c>
      <c r="G28" s="19">
        <f>VLOOKUP(F28,'Profile data'!A28:C287,IF($B$22="Botswana 1",2,3))</f>
        <v>1056.355</v>
      </c>
      <c r="H28" s="19">
        <f t="shared" si="26"/>
        <v>2</v>
      </c>
      <c r="I28" s="19">
        <v>1.9</v>
      </c>
      <c r="J28" s="36">
        <f>'Flow Rate Calculations'!$B$7</f>
        <v>4.0831050228310497</v>
      </c>
      <c r="K28" s="36">
        <f t="shared" si="15"/>
        <v>1.440102709245225</v>
      </c>
      <c r="L28" s="37">
        <f>$I28*$K28/'Calculation Constants'!$B$7</f>
        <v>2421411.6350140949</v>
      </c>
      <c r="M28" s="37">
        <f t="shared" si="1"/>
        <v>55.315000000000055</v>
      </c>
      <c r="N28" s="23">
        <f t="shared" si="16"/>
        <v>40.921594422332419</v>
      </c>
      <c r="O28" s="55">
        <f t="shared" si="2"/>
        <v>55.315000000000055</v>
      </c>
      <c r="P28" s="64">
        <f>MAX(I28*1000/'Calculation Constants'!$B$14,O28*10*I28*1000/2/('Calculation Constants'!$B$12*1000*'Calculation Constants'!$B$13))</f>
        <v>11.875</v>
      </c>
      <c r="Q28" s="66">
        <f t="shared" si="3"/>
        <v>1105894.9783427313</v>
      </c>
      <c r="R28" s="27">
        <f>(1/(2*LOG(3.7*$I28/'Calculation Constants'!$B$2*1000)))^2</f>
        <v>8.6699836115820689E-3</v>
      </c>
      <c r="S28" s="19">
        <f t="shared" si="17"/>
        <v>0.96467850809376621</v>
      </c>
      <c r="T28" s="19">
        <f>IF($H28&gt;0,'Calculation Constants'!$B$9*Hydraulics!$K28^2/2/9.81/MAX($F$4:$F$253)*$H28,"")</f>
        <v>6.3421890311175441E-2</v>
      </c>
      <c r="U28" s="19">
        <f t="shared" si="18"/>
        <v>1.0281003984049417</v>
      </c>
      <c r="V28" s="19">
        <f t="shared" si="4"/>
        <v>0</v>
      </c>
      <c r="W28" s="19">
        <f t="shared" si="5"/>
        <v>40.921594422332419</v>
      </c>
      <c r="X28" s="23">
        <f t="shared" si="6"/>
        <v>1097.2765944223324</v>
      </c>
      <c r="Y28" s="22">
        <f>(1/(2*LOG(3.7*$I28/'Calculation Constants'!$B$3*1000)))^2</f>
        <v>9.7303620360708887E-3</v>
      </c>
      <c r="Z28" s="19">
        <f t="shared" si="7"/>
        <v>1.0826630767363397</v>
      </c>
      <c r="AA28" s="19">
        <f>IF($H28&gt;0,'Calculation Constants'!$B$9*Hydraulics!$K28^2/2/9.81/MAX($F$4:$F$253)*$H28,"")</f>
        <v>6.3421890311175441E-2</v>
      </c>
      <c r="AB28" s="19">
        <f t="shared" si="27"/>
        <v>1.1460849670475151</v>
      </c>
      <c r="AC28" s="19">
        <f t="shared" si="8"/>
        <v>0</v>
      </c>
      <c r="AD28" s="19">
        <f t="shared" si="20"/>
        <v>39.269810461335055</v>
      </c>
      <c r="AE28" s="23">
        <f t="shared" si="9"/>
        <v>1095.6248104613351</v>
      </c>
      <c r="AF28" s="27">
        <f>(1/(2*LOG(3.7*$I28/'Calculation Constants'!$B$4*1000)))^2</f>
        <v>1.1458969193927592E-2</v>
      </c>
      <c r="AG28" s="19">
        <f t="shared" si="10"/>
        <v>1.274999100520025</v>
      </c>
      <c r="AH28" s="19">
        <f>IF($H28&gt;0,'Calculation Constants'!$B$9*Hydraulics!$K28^2/2/9.81/MAX($F$4:$F$253)*$H28,"")</f>
        <v>6.3421890311175441E-2</v>
      </c>
      <c r="AI28" s="19">
        <f t="shared" si="21"/>
        <v>1.3384209908312004</v>
      </c>
      <c r="AJ28" s="19">
        <f t="shared" si="11"/>
        <v>0</v>
      </c>
      <c r="AK28" s="19">
        <f t="shared" si="22"/>
        <v>36.57710612836172</v>
      </c>
      <c r="AL28" s="23">
        <f t="shared" si="12"/>
        <v>1092.9321061283617</v>
      </c>
      <c r="AM28" s="22">
        <f>(1/(2*LOG(3.7*($I28-0.008)/'Calculation Constants'!$B$5*1000)))^2</f>
        <v>1.4542845531075887E-2</v>
      </c>
      <c r="AN28" s="19">
        <f t="shared" si="23"/>
        <v>1.6249731396833385</v>
      </c>
      <c r="AO28" s="19">
        <f>IF($H28&gt;0,'Calculation Constants'!$B$9*Hydraulics!$K28^2/2/9.81/MAX($F$4:$F$253)*$H28,"")</f>
        <v>6.3421890311175441E-2</v>
      </c>
      <c r="AP28" s="19">
        <f t="shared" si="24"/>
        <v>1.6883950299945139</v>
      </c>
      <c r="AQ28" s="19">
        <f t="shared" si="13"/>
        <v>0</v>
      </c>
      <c r="AR28" s="19">
        <f t="shared" si="25"/>
        <v>31.677469580075922</v>
      </c>
      <c r="AS28" s="23">
        <f t="shared" si="14"/>
        <v>1088.0324695800759</v>
      </c>
    </row>
    <row r="29" spans="1:45" ht="18.75">
      <c r="A29" s="53"/>
      <c r="E29" s="35" t="str">
        <f t="shared" si="0"/>
        <v/>
      </c>
      <c r="F29" s="19">
        <f>'Profile data'!A29</f>
        <v>52</v>
      </c>
      <c r="G29" s="19">
        <f>VLOOKUP(F29,'Profile data'!A29:C288,IF($B$22="Botswana 1",2,3))</f>
        <v>1058.4659999999999</v>
      </c>
      <c r="H29" s="19">
        <f t="shared" si="26"/>
        <v>2</v>
      </c>
      <c r="I29" s="19">
        <v>1.9</v>
      </c>
      <c r="J29" s="36">
        <f>'Flow Rate Calculations'!$B$7</f>
        <v>4.0831050228310497</v>
      </c>
      <c r="K29" s="36">
        <f t="shared" si="15"/>
        <v>1.440102709245225</v>
      </c>
      <c r="L29" s="37">
        <f>$I29*$K29/'Calculation Constants'!$B$7</f>
        <v>2421411.6350140949</v>
      </c>
      <c r="M29" s="37">
        <f t="shared" si="1"/>
        <v>53.204000000000178</v>
      </c>
      <c r="N29" s="23">
        <f t="shared" si="16"/>
        <v>37.782494023927711</v>
      </c>
      <c r="O29" s="55">
        <f t="shared" si="2"/>
        <v>53.204000000000178</v>
      </c>
      <c r="P29" s="64">
        <f>MAX(I29*1000/'Calculation Constants'!$B$14,O29*10*I29*1000/2/('Calculation Constants'!$B$12*1000*'Calculation Constants'!$B$13))</f>
        <v>11.875</v>
      </c>
      <c r="Q29" s="66">
        <f t="shared" si="3"/>
        <v>1105894.9783427313</v>
      </c>
      <c r="R29" s="27">
        <f>(1/(2*LOG(3.7*$I29/'Calculation Constants'!$B$2*1000)))^2</f>
        <v>8.6699836115820689E-3</v>
      </c>
      <c r="S29" s="19">
        <f t="shared" si="17"/>
        <v>0.96467850809376621</v>
      </c>
      <c r="T29" s="19">
        <f>IF($H29&gt;0,'Calculation Constants'!$B$9*Hydraulics!$K29^2/2/9.81/MAX($F$4:$F$253)*$H29,"")</f>
        <v>6.3421890311175441E-2</v>
      </c>
      <c r="U29" s="19">
        <f t="shared" si="18"/>
        <v>1.0281003984049417</v>
      </c>
      <c r="V29" s="19">
        <f t="shared" si="4"/>
        <v>0</v>
      </c>
      <c r="W29" s="19">
        <f t="shared" si="5"/>
        <v>37.782494023927711</v>
      </c>
      <c r="X29" s="23">
        <f t="shared" si="6"/>
        <v>1096.2484940239276</v>
      </c>
      <c r="Y29" s="22">
        <f>(1/(2*LOG(3.7*$I29/'Calculation Constants'!$B$3*1000)))^2</f>
        <v>9.7303620360708887E-3</v>
      </c>
      <c r="Z29" s="19">
        <f t="shared" si="7"/>
        <v>1.0826630767363397</v>
      </c>
      <c r="AA29" s="19">
        <f>IF($H29&gt;0,'Calculation Constants'!$B$9*Hydraulics!$K29^2/2/9.81/MAX($F$4:$F$253)*$H29,"")</f>
        <v>6.3421890311175441E-2</v>
      </c>
      <c r="AB29" s="19">
        <f t="shared" si="27"/>
        <v>1.1460849670475151</v>
      </c>
      <c r="AC29" s="19">
        <f t="shared" si="8"/>
        <v>0</v>
      </c>
      <c r="AD29" s="19">
        <f t="shared" si="20"/>
        <v>36.012725494287679</v>
      </c>
      <c r="AE29" s="23">
        <f t="shared" si="9"/>
        <v>1094.4787254942876</v>
      </c>
      <c r="AF29" s="27">
        <f>(1/(2*LOG(3.7*$I29/'Calculation Constants'!$B$4*1000)))^2</f>
        <v>1.1458969193927592E-2</v>
      </c>
      <c r="AG29" s="19">
        <f t="shared" si="10"/>
        <v>1.274999100520025</v>
      </c>
      <c r="AH29" s="19">
        <f>IF($H29&gt;0,'Calculation Constants'!$B$9*Hydraulics!$K29^2/2/9.81/MAX($F$4:$F$253)*$H29,"")</f>
        <v>6.3421890311175441E-2</v>
      </c>
      <c r="AI29" s="19">
        <f t="shared" si="21"/>
        <v>1.3384209908312004</v>
      </c>
      <c r="AJ29" s="19">
        <f t="shared" si="11"/>
        <v>0</v>
      </c>
      <c r="AK29" s="19">
        <f t="shared" si="22"/>
        <v>33.127685137530534</v>
      </c>
      <c r="AL29" s="23">
        <f t="shared" si="12"/>
        <v>1091.5936851375304</v>
      </c>
      <c r="AM29" s="22">
        <f>(1/(2*LOG(3.7*($I29-0.008)/'Calculation Constants'!$B$5*1000)))^2</f>
        <v>1.4542845531075887E-2</v>
      </c>
      <c r="AN29" s="19">
        <f t="shared" si="23"/>
        <v>1.6249731396833385</v>
      </c>
      <c r="AO29" s="19">
        <f>IF($H29&gt;0,'Calculation Constants'!$B$9*Hydraulics!$K29^2/2/9.81/MAX($F$4:$F$253)*$H29,"")</f>
        <v>6.3421890311175441E-2</v>
      </c>
      <c r="AP29" s="19">
        <f t="shared" si="24"/>
        <v>1.6883950299945139</v>
      </c>
      <c r="AQ29" s="19">
        <f t="shared" si="13"/>
        <v>0</v>
      </c>
      <c r="AR29" s="19">
        <f t="shared" si="25"/>
        <v>27.878074550081465</v>
      </c>
      <c r="AS29" s="23">
        <f t="shared" si="14"/>
        <v>1086.3440745500814</v>
      </c>
    </row>
    <row r="30" spans="1:45" ht="18.75">
      <c r="A30" s="53"/>
      <c r="E30" s="35" t="str">
        <f t="shared" si="0"/>
        <v/>
      </c>
      <c r="F30" s="19">
        <f>'Profile data'!A30</f>
        <v>54</v>
      </c>
      <c r="G30" s="19">
        <f>VLOOKUP(F30,'Profile data'!A30:C289,IF($B$22="Botswana 1",2,3))</f>
        <v>1055.99</v>
      </c>
      <c r="H30" s="19">
        <f t="shared" si="26"/>
        <v>2</v>
      </c>
      <c r="I30" s="19">
        <v>1.9</v>
      </c>
      <c r="J30" s="36">
        <f>'Flow Rate Calculations'!$B$7</f>
        <v>4.0831050228310497</v>
      </c>
      <c r="K30" s="36">
        <f t="shared" si="15"/>
        <v>1.440102709245225</v>
      </c>
      <c r="L30" s="37">
        <f>$I30*$K30/'Calculation Constants'!$B$7</f>
        <v>2421411.6350140949</v>
      </c>
      <c r="M30" s="37">
        <f t="shared" si="1"/>
        <v>55.680000000000064</v>
      </c>
      <c r="N30" s="23">
        <f t="shared" si="16"/>
        <v>39.230393625522765</v>
      </c>
      <c r="O30" s="55">
        <f t="shared" si="2"/>
        <v>55.680000000000064</v>
      </c>
      <c r="P30" s="64">
        <f>MAX(I30*1000/'Calculation Constants'!$B$14,O30*10*I30*1000/2/('Calculation Constants'!$B$12*1000*'Calculation Constants'!$B$13))</f>
        <v>11.875</v>
      </c>
      <c r="Q30" s="66">
        <f t="shared" si="3"/>
        <v>1105894.9783427313</v>
      </c>
      <c r="R30" s="27">
        <f>(1/(2*LOG(3.7*$I30/'Calculation Constants'!$B$2*1000)))^2</f>
        <v>8.6699836115820689E-3</v>
      </c>
      <c r="S30" s="19">
        <f t="shared" si="17"/>
        <v>0.96467850809376621</v>
      </c>
      <c r="T30" s="19">
        <f>IF($H30&gt;0,'Calculation Constants'!$B$9*Hydraulics!$K30^2/2/9.81/MAX($F$4:$F$253)*$H30,"")</f>
        <v>6.3421890311175441E-2</v>
      </c>
      <c r="U30" s="19">
        <f t="shared" si="18"/>
        <v>1.0281003984049417</v>
      </c>
      <c r="V30" s="19">
        <f t="shared" si="4"/>
        <v>0</v>
      </c>
      <c r="W30" s="19">
        <f t="shared" si="5"/>
        <v>39.230393625522765</v>
      </c>
      <c r="X30" s="23">
        <f t="shared" si="6"/>
        <v>1095.2203936255228</v>
      </c>
      <c r="Y30" s="22">
        <f>(1/(2*LOG(3.7*$I30/'Calculation Constants'!$B$3*1000)))^2</f>
        <v>9.7303620360708887E-3</v>
      </c>
      <c r="Z30" s="19">
        <f t="shared" si="7"/>
        <v>1.0826630767363397</v>
      </c>
      <c r="AA30" s="19">
        <f>IF($H30&gt;0,'Calculation Constants'!$B$9*Hydraulics!$K30^2/2/9.81/MAX($F$4:$F$253)*$H30,"")</f>
        <v>6.3421890311175441E-2</v>
      </c>
      <c r="AB30" s="19">
        <f t="shared" si="27"/>
        <v>1.1460849670475151</v>
      </c>
      <c r="AC30" s="19">
        <f t="shared" si="8"/>
        <v>0</v>
      </c>
      <c r="AD30" s="19">
        <f t="shared" si="20"/>
        <v>37.342640527240064</v>
      </c>
      <c r="AE30" s="23">
        <f t="shared" si="9"/>
        <v>1093.3326405272401</v>
      </c>
      <c r="AF30" s="27">
        <f>(1/(2*LOG(3.7*$I30/'Calculation Constants'!$B$4*1000)))^2</f>
        <v>1.1458969193927592E-2</v>
      </c>
      <c r="AG30" s="19">
        <f t="shared" si="10"/>
        <v>1.274999100520025</v>
      </c>
      <c r="AH30" s="19">
        <f>IF($H30&gt;0,'Calculation Constants'!$B$9*Hydraulics!$K30^2/2/9.81/MAX($F$4:$F$253)*$H30,"")</f>
        <v>6.3421890311175441E-2</v>
      </c>
      <c r="AI30" s="19">
        <f t="shared" si="21"/>
        <v>1.3384209908312004</v>
      </c>
      <c r="AJ30" s="19">
        <f t="shared" si="11"/>
        <v>0</v>
      </c>
      <c r="AK30" s="19">
        <f t="shared" si="22"/>
        <v>34.26526414669911</v>
      </c>
      <c r="AL30" s="23">
        <f t="shared" si="12"/>
        <v>1090.2552641466991</v>
      </c>
      <c r="AM30" s="22">
        <f>(1/(2*LOG(3.7*($I30-0.008)/'Calculation Constants'!$B$5*1000)))^2</f>
        <v>1.4542845531075887E-2</v>
      </c>
      <c r="AN30" s="19">
        <f t="shared" si="23"/>
        <v>1.6249731396833385</v>
      </c>
      <c r="AO30" s="19">
        <f>IF($H30&gt;0,'Calculation Constants'!$B$9*Hydraulics!$K30^2/2/9.81/MAX($F$4:$F$253)*$H30,"")</f>
        <v>6.3421890311175441E-2</v>
      </c>
      <c r="AP30" s="19">
        <f t="shared" si="24"/>
        <v>1.6883950299945139</v>
      </c>
      <c r="AQ30" s="19">
        <f t="shared" si="13"/>
        <v>0</v>
      </c>
      <c r="AR30" s="19">
        <f t="shared" si="25"/>
        <v>28.665679520086769</v>
      </c>
      <c r="AS30" s="23">
        <f t="shared" si="14"/>
        <v>1084.6556795200868</v>
      </c>
    </row>
    <row r="31" spans="1:45">
      <c r="E31" s="35" t="str">
        <f t="shared" si="0"/>
        <v/>
      </c>
      <c r="F31" s="19">
        <f>'Profile data'!A31</f>
        <v>56</v>
      </c>
      <c r="G31" s="19">
        <f>VLOOKUP(F31,'Profile data'!A31:C290,IF($B$22="Botswana 1",2,3))</f>
        <v>1055.6600000000001</v>
      </c>
      <c r="H31" s="19">
        <f t="shared" si="26"/>
        <v>2</v>
      </c>
      <c r="I31" s="19">
        <v>1.9</v>
      </c>
      <c r="J31" s="36">
        <f>'Flow Rate Calculations'!$B$7</f>
        <v>4.0831050228310497</v>
      </c>
      <c r="K31" s="36">
        <f t="shared" si="15"/>
        <v>1.440102709245225</v>
      </c>
      <c r="L31" s="37">
        <f>$I31*$K31/'Calculation Constants'!$B$7</f>
        <v>2421411.6350140949</v>
      </c>
      <c r="M31" s="37">
        <f t="shared" si="1"/>
        <v>56.009999999999991</v>
      </c>
      <c r="N31" s="23">
        <f t="shared" si="16"/>
        <v>38.532293227117862</v>
      </c>
      <c r="O31" s="55">
        <f t="shared" si="2"/>
        <v>56.009999999999991</v>
      </c>
      <c r="P31" s="64">
        <f>MAX(I31*1000/'Calculation Constants'!$B$14,O31*10*I31*1000/2/('Calculation Constants'!$B$12*1000*'Calculation Constants'!$B$13))</f>
        <v>11.875</v>
      </c>
      <c r="Q31" s="66">
        <f t="shared" si="3"/>
        <v>1105894.9783427313</v>
      </c>
      <c r="R31" s="27">
        <f>(1/(2*LOG(3.7*$I31/'Calculation Constants'!$B$2*1000)))^2</f>
        <v>8.6699836115820689E-3</v>
      </c>
      <c r="S31" s="19">
        <f t="shared" si="17"/>
        <v>0.96467850809376621</v>
      </c>
      <c r="T31" s="19">
        <f>IF($H31&gt;0,'Calculation Constants'!$B$9*Hydraulics!$K31^2/2/9.81/MAX($F$4:$F$253)*$H31,"")</f>
        <v>6.3421890311175441E-2</v>
      </c>
      <c r="U31" s="19">
        <f t="shared" si="18"/>
        <v>1.0281003984049417</v>
      </c>
      <c r="V31" s="19">
        <f t="shared" si="4"/>
        <v>0</v>
      </c>
      <c r="W31" s="19">
        <f t="shared" si="5"/>
        <v>38.532293227117862</v>
      </c>
      <c r="X31" s="23">
        <f t="shared" si="6"/>
        <v>1094.1922932271179</v>
      </c>
      <c r="Y31" s="22">
        <f>(1/(2*LOG(3.7*$I31/'Calculation Constants'!$B$3*1000)))^2</f>
        <v>9.7303620360708887E-3</v>
      </c>
      <c r="Z31" s="19">
        <f t="shared" si="7"/>
        <v>1.0826630767363397</v>
      </c>
      <c r="AA31" s="19">
        <f>IF($H31&gt;0,'Calculation Constants'!$B$9*Hydraulics!$K31^2/2/9.81/MAX($F$4:$F$253)*$H31,"")</f>
        <v>6.3421890311175441E-2</v>
      </c>
      <c r="AB31" s="19">
        <f t="shared" si="27"/>
        <v>1.1460849670475151</v>
      </c>
      <c r="AC31" s="19">
        <f t="shared" si="8"/>
        <v>0</v>
      </c>
      <c r="AD31" s="19">
        <f t="shared" si="20"/>
        <v>36.526555560192492</v>
      </c>
      <c r="AE31" s="23">
        <f t="shared" si="9"/>
        <v>1092.1865555601926</v>
      </c>
      <c r="AF31" s="27">
        <f>(1/(2*LOG(3.7*$I31/'Calculation Constants'!$B$4*1000)))^2</f>
        <v>1.1458969193927592E-2</v>
      </c>
      <c r="AG31" s="19">
        <f t="shared" si="10"/>
        <v>1.274999100520025</v>
      </c>
      <c r="AH31" s="19">
        <f>IF($H31&gt;0,'Calculation Constants'!$B$9*Hydraulics!$K31^2/2/9.81/MAX($F$4:$F$253)*$H31,"")</f>
        <v>6.3421890311175441E-2</v>
      </c>
      <c r="AI31" s="19">
        <f t="shared" si="21"/>
        <v>1.3384209908312004</v>
      </c>
      <c r="AJ31" s="19">
        <f t="shared" si="11"/>
        <v>0</v>
      </c>
      <c r="AK31" s="19">
        <f t="shared" si="22"/>
        <v>33.256843155867728</v>
      </c>
      <c r="AL31" s="23">
        <f t="shared" si="12"/>
        <v>1088.9168431558678</v>
      </c>
      <c r="AM31" s="22">
        <f>(1/(2*LOG(3.7*($I31-0.008)/'Calculation Constants'!$B$5*1000)))^2</f>
        <v>1.4542845531075887E-2</v>
      </c>
      <c r="AN31" s="19">
        <f t="shared" si="23"/>
        <v>1.6249731396833385</v>
      </c>
      <c r="AO31" s="19">
        <f>IF($H31&gt;0,'Calculation Constants'!$B$9*Hydraulics!$K31^2/2/9.81/MAX($F$4:$F$253)*$H31,"")</f>
        <v>6.3421890311175441E-2</v>
      </c>
      <c r="AP31" s="19">
        <f t="shared" si="24"/>
        <v>1.6883950299945139</v>
      </c>
      <c r="AQ31" s="19">
        <f t="shared" si="13"/>
        <v>0</v>
      </c>
      <c r="AR31" s="19">
        <f t="shared" si="25"/>
        <v>27.307284490092115</v>
      </c>
      <c r="AS31" s="23">
        <f t="shared" si="14"/>
        <v>1082.9672844900922</v>
      </c>
    </row>
    <row r="32" spans="1:45">
      <c r="E32" s="35" t="str">
        <f t="shared" si="0"/>
        <v/>
      </c>
      <c r="F32" s="19">
        <f>'Profile data'!A32</f>
        <v>58</v>
      </c>
      <c r="G32" s="19">
        <f>VLOOKUP(F32,'Profile data'!A32:C291,IF($B$22="Botswana 1",2,3))</f>
        <v>1056.404</v>
      </c>
      <c r="H32" s="19">
        <f t="shared" si="26"/>
        <v>2</v>
      </c>
      <c r="I32" s="19">
        <v>1.9</v>
      </c>
      <c r="J32" s="36">
        <f>'Flow Rate Calculations'!$B$7</f>
        <v>4.0831050228310497</v>
      </c>
      <c r="K32" s="36">
        <f t="shared" si="15"/>
        <v>1.440102709245225</v>
      </c>
      <c r="L32" s="37">
        <f>$I32*$K32/'Calculation Constants'!$B$7</f>
        <v>2421411.6350140949</v>
      </c>
      <c r="M32" s="37">
        <f t="shared" si="1"/>
        <v>55.266000000000076</v>
      </c>
      <c r="N32" s="23">
        <f t="shared" si="16"/>
        <v>36.760192828713116</v>
      </c>
      <c r="O32" s="55">
        <f t="shared" si="2"/>
        <v>55.266000000000076</v>
      </c>
      <c r="P32" s="64">
        <f>MAX(I32*1000/'Calculation Constants'!$B$14,O32*10*I32*1000/2/('Calculation Constants'!$B$12*1000*'Calculation Constants'!$B$13))</f>
        <v>11.875</v>
      </c>
      <c r="Q32" s="66">
        <f t="shared" si="3"/>
        <v>1105894.9783427313</v>
      </c>
      <c r="R32" s="27">
        <f>(1/(2*LOG(3.7*$I32/'Calculation Constants'!$B$2*1000)))^2</f>
        <v>8.6699836115820689E-3</v>
      </c>
      <c r="S32" s="19">
        <f t="shared" si="17"/>
        <v>0.96467850809376621</v>
      </c>
      <c r="T32" s="19">
        <f>IF($H32&gt;0,'Calculation Constants'!$B$9*Hydraulics!$K32^2/2/9.81/MAX($F$4:$F$253)*$H32,"")</f>
        <v>6.3421890311175441E-2</v>
      </c>
      <c r="U32" s="19">
        <f t="shared" si="18"/>
        <v>1.0281003984049417</v>
      </c>
      <c r="V32" s="19">
        <f t="shared" si="4"/>
        <v>0</v>
      </c>
      <c r="W32" s="19">
        <f t="shared" si="5"/>
        <v>36.760192828713116</v>
      </c>
      <c r="X32" s="23">
        <f t="shared" si="6"/>
        <v>1093.1641928287131</v>
      </c>
      <c r="Y32" s="22">
        <f>(1/(2*LOG(3.7*$I32/'Calculation Constants'!$B$3*1000)))^2</f>
        <v>9.7303620360708887E-3</v>
      </c>
      <c r="Z32" s="19">
        <f t="shared" si="7"/>
        <v>1.0826630767363397</v>
      </c>
      <c r="AA32" s="19">
        <f>IF($H32&gt;0,'Calculation Constants'!$B$9*Hydraulics!$K32^2/2/9.81/MAX($F$4:$F$253)*$H32,"")</f>
        <v>6.3421890311175441E-2</v>
      </c>
      <c r="AB32" s="19">
        <f t="shared" si="27"/>
        <v>1.1460849670475151</v>
      </c>
      <c r="AC32" s="19">
        <f t="shared" si="8"/>
        <v>0</v>
      </c>
      <c r="AD32" s="19">
        <f t="shared" si="20"/>
        <v>34.636470593145077</v>
      </c>
      <c r="AE32" s="23">
        <f t="shared" si="9"/>
        <v>1091.0404705931451</v>
      </c>
      <c r="AF32" s="27">
        <f>(1/(2*LOG(3.7*$I32/'Calculation Constants'!$B$4*1000)))^2</f>
        <v>1.1458969193927592E-2</v>
      </c>
      <c r="AG32" s="19">
        <f t="shared" si="10"/>
        <v>1.274999100520025</v>
      </c>
      <c r="AH32" s="19">
        <f>IF($H32&gt;0,'Calculation Constants'!$B$9*Hydraulics!$K32^2/2/9.81/MAX($F$4:$F$253)*$H32,"")</f>
        <v>6.3421890311175441E-2</v>
      </c>
      <c r="AI32" s="19">
        <f t="shared" si="21"/>
        <v>1.3384209908312004</v>
      </c>
      <c r="AJ32" s="19">
        <f t="shared" si="11"/>
        <v>0</v>
      </c>
      <c r="AK32" s="19">
        <f t="shared" si="22"/>
        <v>31.174422165036503</v>
      </c>
      <c r="AL32" s="23">
        <f t="shared" si="12"/>
        <v>1087.5784221650365</v>
      </c>
      <c r="AM32" s="22">
        <f>(1/(2*LOG(3.7*($I32-0.008)/'Calculation Constants'!$B$5*1000)))^2</f>
        <v>1.4542845531075887E-2</v>
      </c>
      <c r="AN32" s="19">
        <f t="shared" si="23"/>
        <v>1.6249731396833385</v>
      </c>
      <c r="AO32" s="19">
        <f>IF($H32&gt;0,'Calculation Constants'!$B$9*Hydraulics!$K32^2/2/9.81/MAX($F$4:$F$253)*$H32,"")</f>
        <v>6.3421890311175441E-2</v>
      </c>
      <c r="AP32" s="19">
        <f t="shared" si="24"/>
        <v>1.6883950299945139</v>
      </c>
      <c r="AQ32" s="19">
        <f t="shared" si="13"/>
        <v>0</v>
      </c>
      <c r="AR32" s="19">
        <f t="shared" si="25"/>
        <v>24.87488946009762</v>
      </c>
      <c r="AS32" s="23">
        <f t="shared" si="14"/>
        <v>1081.2788894600976</v>
      </c>
    </row>
    <row r="33" spans="5:45">
      <c r="E33" s="35" t="str">
        <f t="shared" si="0"/>
        <v/>
      </c>
      <c r="F33" s="19">
        <f>'Profile data'!A33</f>
        <v>60</v>
      </c>
      <c r="G33" s="19">
        <f>VLOOKUP(F33,'Profile data'!A33:C292,IF($B$22="Botswana 1",2,3))</f>
        <v>1056.8409999999999</v>
      </c>
      <c r="H33" s="19">
        <f t="shared" si="26"/>
        <v>2</v>
      </c>
      <c r="I33" s="19">
        <v>1.9</v>
      </c>
      <c r="J33" s="36">
        <f>'Flow Rate Calculations'!$B$7</f>
        <v>4.0831050228310497</v>
      </c>
      <c r="K33" s="36">
        <f t="shared" si="15"/>
        <v>1.440102709245225</v>
      </c>
      <c r="L33" s="37">
        <f>$I33*$K33/'Calculation Constants'!$B$7</f>
        <v>2421411.6350140949</v>
      </c>
      <c r="M33" s="37">
        <f t="shared" si="1"/>
        <v>54.829000000000178</v>
      </c>
      <c r="N33" s="23">
        <f t="shared" si="16"/>
        <v>35.295092430308387</v>
      </c>
      <c r="O33" s="55">
        <f t="shared" si="2"/>
        <v>54.829000000000178</v>
      </c>
      <c r="P33" s="64">
        <f>MAX(I33*1000/'Calculation Constants'!$B$14,O33*10*I33*1000/2/('Calculation Constants'!$B$12*1000*'Calculation Constants'!$B$13))</f>
        <v>11.875</v>
      </c>
      <c r="Q33" s="66">
        <f t="shared" si="3"/>
        <v>1105894.9783427313</v>
      </c>
      <c r="R33" s="27">
        <f>(1/(2*LOG(3.7*$I33/'Calculation Constants'!$B$2*1000)))^2</f>
        <v>8.6699836115820689E-3</v>
      </c>
      <c r="S33" s="19">
        <f t="shared" si="17"/>
        <v>0.96467850809376621</v>
      </c>
      <c r="T33" s="19">
        <f>IF($H33&gt;0,'Calculation Constants'!$B$9*Hydraulics!$K33^2/2/9.81/MAX($F$4:$F$253)*$H33,"")</f>
        <v>6.3421890311175441E-2</v>
      </c>
      <c r="U33" s="19">
        <f t="shared" si="18"/>
        <v>1.0281003984049417</v>
      </c>
      <c r="V33" s="19">
        <f t="shared" si="4"/>
        <v>0</v>
      </c>
      <c r="W33" s="19">
        <f t="shared" si="5"/>
        <v>35.295092430308387</v>
      </c>
      <c r="X33" s="23">
        <f t="shared" si="6"/>
        <v>1092.1360924303083</v>
      </c>
      <c r="Y33" s="22">
        <f>(1/(2*LOG(3.7*$I33/'Calculation Constants'!$B$3*1000)))^2</f>
        <v>9.7303620360708887E-3</v>
      </c>
      <c r="Z33" s="19">
        <f t="shared" si="7"/>
        <v>1.0826630767363397</v>
      </c>
      <c r="AA33" s="19">
        <f>IF($H33&gt;0,'Calculation Constants'!$B$9*Hydraulics!$K33^2/2/9.81/MAX($F$4:$F$253)*$H33,"")</f>
        <v>6.3421890311175441E-2</v>
      </c>
      <c r="AB33" s="19">
        <f t="shared" si="27"/>
        <v>1.1460849670475151</v>
      </c>
      <c r="AC33" s="19">
        <f t="shared" si="8"/>
        <v>0</v>
      </c>
      <c r="AD33" s="19">
        <f t="shared" si="20"/>
        <v>33.053385626097679</v>
      </c>
      <c r="AE33" s="23">
        <f t="shared" si="9"/>
        <v>1089.8943856260976</v>
      </c>
      <c r="AF33" s="27">
        <f>(1/(2*LOG(3.7*$I33/'Calculation Constants'!$B$4*1000)))^2</f>
        <v>1.1458969193927592E-2</v>
      </c>
      <c r="AG33" s="19">
        <f t="shared" si="10"/>
        <v>1.274999100520025</v>
      </c>
      <c r="AH33" s="19">
        <f>IF($H33&gt;0,'Calculation Constants'!$B$9*Hydraulics!$K33^2/2/9.81/MAX($F$4:$F$253)*$H33,"")</f>
        <v>6.3421890311175441E-2</v>
      </c>
      <c r="AI33" s="19">
        <f t="shared" si="21"/>
        <v>1.3384209908312004</v>
      </c>
      <c r="AJ33" s="19">
        <f t="shared" si="11"/>
        <v>0</v>
      </c>
      <c r="AK33" s="19">
        <f t="shared" si="22"/>
        <v>29.399001174205296</v>
      </c>
      <c r="AL33" s="23">
        <f t="shared" si="12"/>
        <v>1086.2400011742052</v>
      </c>
      <c r="AM33" s="22">
        <f>(1/(2*LOG(3.7*($I33-0.008)/'Calculation Constants'!$B$5*1000)))^2</f>
        <v>1.4542845531075887E-2</v>
      </c>
      <c r="AN33" s="19">
        <f t="shared" si="23"/>
        <v>1.6249731396833385</v>
      </c>
      <c r="AO33" s="19">
        <f>IF($H33&gt;0,'Calculation Constants'!$B$9*Hydraulics!$K33^2/2/9.81/MAX($F$4:$F$253)*$H33,"")</f>
        <v>6.3421890311175441E-2</v>
      </c>
      <c r="AP33" s="19">
        <f t="shared" si="24"/>
        <v>1.6883950299945139</v>
      </c>
      <c r="AQ33" s="19">
        <f t="shared" si="13"/>
        <v>0</v>
      </c>
      <c r="AR33" s="19">
        <f t="shared" si="25"/>
        <v>22.749494430103141</v>
      </c>
      <c r="AS33" s="23">
        <f t="shared" si="14"/>
        <v>1079.590494430103</v>
      </c>
    </row>
    <row r="34" spans="5:45">
      <c r="E34" s="35" t="str">
        <f t="shared" si="0"/>
        <v/>
      </c>
      <c r="F34" s="19">
        <f>'Profile data'!A34</f>
        <v>62</v>
      </c>
      <c r="G34" s="19">
        <f>VLOOKUP(F34,'Profile data'!A34:C293,IF($B$22="Botswana 1",2,3))</f>
        <v>1056.377</v>
      </c>
      <c r="H34" s="19">
        <f t="shared" si="26"/>
        <v>2</v>
      </c>
      <c r="I34" s="19">
        <v>1.9</v>
      </c>
      <c r="J34" s="36">
        <f>'Flow Rate Calculations'!$B$7</f>
        <v>4.0831050228310497</v>
      </c>
      <c r="K34" s="36">
        <f t="shared" si="15"/>
        <v>1.440102709245225</v>
      </c>
      <c r="L34" s="37">
        <f>$I34*$K34/'Calculation Constants'!$B$7</f>
        <v>2421411.6350140949</v>
      </c>
      <c r="M34" s="37">
        <f t="shared" si="1"/>
        <v>55.29300000000012</v>
      </c>
      <c r="N34" s="23">
        <f t="shared" si="16"/>
        <v>34.730992031903497</v>
      </c>
      <c r="O34" s="55">
        <f t="shared" si="2"/>
        <v>55.29300000000012</v>
      </c>
      <c r="P34" s="64">
        <f>MAX(I34*1000/'Calculation Constants'!$B$14,O34*10*I34*1000/2/('Calculation Constants'!$B$12*1000*'Calculation Constants'!$B$13))</f>
        <v>11.875</v>
      </c>
      <c r="Q34" s="66">
        <f t="shared" si="3"/>
        <v>1105894.9783427313</v>
      </c>
      <c r="R34" s="27">
        <f>(1/(2*LOG(3.7*$I34/'Calculation Constants'!$B$2*1000)))^2</f>
        <v>8.6699836115820689E-3</v>
      </c>
      <c r="S34" s="19">
        <f t="shared" si="17"/>
        <v>0.96467850809376621</v>
      </c>
      <c r="T34" s="19">
        <f>IF($H34&gt;0,'Calculation Constants'!$B$9*Hydraulics!$K34^2/2/9.81/MAX($F$4:$F$253)*$H34,"")</f>
        <v>6.3421890311175441E-2</v>
      </c>
      <c r="U34" s="19">
        <f t="shared" si="18"/>
        <v>1.0281003984049417</v>
      </c>
      <c r="V34" s="19">
        <f t="shared" si="4"/>
        <v>0</v>
      </c>
      <c r="W34" s="19">
        <f t="shared" si="5"/>
        <v>34.730992031903497</v>
      </c>
      <c r="X34" s="23">
        <f t="shared" si="6"/>
        <v>1091.1079920319034</v>
      </c>
      <c r="Y34" s="22">
        <f>(1/(2*LOG(3.7*$I34/'Calculation Constants'!$B$3*1000)))^2</f>
        <v>9.7303620360708887E-3</v>
      </c>
      <c r="Z34" s="19">
        <f t="shared" si="7"/>
        <v>1.0826630767363397</v>
      </c>
      <c r="AA34" s="19">
        <f>IF($H34&gt;0,'Calculation Constants'!$B$9*Hydraulics!$K34^2/2/9.81/MAX($F$4:$F$253)*$H34,"")</f>
        <v>6.3421890311175441E-2</v>
      </c>
      <c r="AB34" s="19">
        <f t="shared" si="27"/>
        <v>1.1460849670475151</v>
      </c>
      <c r="AC34" s="19">
        <f t="shared" si="8"/>
        <v>0</v>
      </c>
      <c r="AD34" s="19">
        <f t="shared" si="20"/>
        <v>32.371300659050121</v>
      </c>
      <c r="AE34" s="23">
        <f t="shared" si="9"/>
        <v>1088.7483006590501</v>
      </c>
      <c r="AF34" s="27">
        <f>(1/(2*LOG(3.7*$I34/'Calculation Constants'!$B$4*1000)))^2</f>
        <v>1.1458969193927592E-2</v>
      </c>
      <c r="AG34" s="19">
        <f t="shared" si="10"/>
        <v>1.274999100520025</v>
      </c>
      <c r="AH34" s="19">
        <f>IF($H34&gt;0,'Calculation Constants'!$B$9*Hydraulics!$K34^2/2/9.81/MAX($F$4:$F$253)*$H34,"")</f>
        <v>6.3421890311175441E-2</v>
      </c>
      <c r="AI34" s="19">
        <f t="shared" si="21"/>
        <v>1.3384209908312004</v>
      </c>
      <c r="AJ34" s="19">
        <f t="shared" si="11"/>
        <v>0</v>
      </c>
      <c r="AK34" s="19">
        <f t="shared" si="22"/>
        <v>28.524580183373928</v>
      </c>
      <c r="AL34" s="23">
        <f t="shared" si="12"/>
        <v>1084.9015801833739</v>
      </c>
      <c r="AM34" s="22">
        <f>(1/(2*LOG(3.7*($I34-0.008)/'Calculation Constants'!$B$5*1000)))^2</f>
        <v>1.4542845531075887E-2</v>
      </c>
      <c r="AN34" s="19">
        <f t="shared" si="23"/>
        <v>1.6249731396833385</v>
      </c>
      <c r="AO34" s="19">
        <f>IF($H34&gt;0,'Calculation Constants'!$B$9*Hydraulics!$K34^2/2/9.81/MAX($F$4:$F$253)*$H34,"")</f>
        <v>6.3421890311175441E-2</v>
      </c>
      <c r="AP34" s="19">
        <f t="shared" si="24"/>
        <v>1.6883950299945139</v>
      </c>
      <c r="AQ34" s="19">
        <f t="shared" si="13"/>
        <v>0</v>
      </c>
      <c r="AR34" s="19">
        <f t="shared" si="25"/>
        <v>21.525099400108502</v>
      </c>
      <c r="AS34" s="23">
        <f t="shared" si="14"/>
        <v>1077.9020994001085</v>
      </c>
    </row>
    <row r="35" spans="5:45">
      <c r="E35" s="35" t="str">
        <f t="shared" si="0"/>
        <v/>
      </c>
      <c r="F35" s="19">
        <f>'Profile data'!A35</f>
        <v>64</v>
      </c>
      <c r="G35" s="19">
        <f>VLOOKUP(F35,'Profile data'!A35:C294,IF($B$22="Botswana 1",2,3))</f>
        <v>1052.5029999999999</v>
      </c>
      <c r="H35" s="19">
        <f t="shared" si="26"/>
        <v>2</v>
      </c>
      <c r="I35" s="19">
        <v>1.9</v>
      </c>
      <c r="J35" s="36">
        <f>'Flow Rate Calculations'!$B$7</f>
        <v>4.0831050228310497</v>
      </c>
      <c r="K35" s="36">
        <f t="shared" si="15"/>
        <v>1.440102709245225</v>
      </c>
      <c r="L35" s="37">
        <f>$I35*$K35/'Calculation Constants'!$B$7</f>
        <v>2421411.6350140949</v>
      </c>
      <c r="M35" s="37">
        <f t="shared" si="1"/>
        <v>59.167000000000144</v>
      </c>
      <c r="N35" s="23">
        <f t="shared" si="16"/>
        <v>37.57689163349869</v>
      </c>
      <c r="O35" s="55">
        <f t="shared" si="2"/>
        <v>59.167000000000144</v>
      </c>
      <c r="P35" s="64">
        <f>MAX(I35*1000/'Calculation Constants'!$B$14,O35*10*I35*1000/2/('Calculation Constants'!$B$12*1000*'Calculation Constants'!$B$13))</f>
        <v>11.875</v>
      </c>
      <c r="Q35" s="66">
        <f t="shared" si="3"/>
        <v>1105894.9783427313</v>
      </c>
      <c r="R35" s="27">
        <f>(1/(2*LOG(3.7*$I35/'Calculation Constants'!$B$2*1000)))^2</f>
        <v>8.6699836115820689E-3</v>
      </c>
      <c r="S35" s="19">
        <f t="shared" si="17"/>
        <v>0.96467850809376621</v>
      </c>
      <c r="T35" s="19">
        <f>IF($H35&gt;0,'Calculation Constants'!$B$9*Hydraulics!$K35^2/2/9.81/MAX($F$4:$F$253)*$H35,"")</f>
        <v>6.3421890311175441E-2</v>
      </c>
      <c r="U35" s="19">
        <f t="shared" si="18"/>
        <v>1.0281003984049417</v>
      </c>
      <c r="V35" s="19">
        <f t="shared" si="4"/>
        <v>0</v>
      </c>
      <c r="W35" s="19">
        <f t="shared" si="5"/>
        <v>37.57689163349869</v>
      </c>
      <c r="X35" s="23">
        <f t="shared" si="6"/>
        <v>1090.0798916334986</v>
      </c>
      <c r="Y35" s="22">
        <f>(1/(2*LOG(3.7*$I35/'Calculation Constants'!$B$3*1000)))^2</f>
        <v>9.7303620360708887E-3</v>
      </c>
      <c r="Z35" s="19">
        <f t="shared" si="7"/>
        <v>1.0826630767363397</v>
      </c>
      <c r="AA35" s="19">
        <f>IF($H35&gt;0,'Calculation Constants'!$B$9*Hydraulics!$K35^2/2/9.81/MAX($F$4:$F$253)*$H35,"")</f>
        <v>6.3421890311175441E-2</v>
      </c>
      <c r="AB35" s="19">
        <f t="shared" si="27"/>
        <v>1.1460849670475151</v>
      </c>
      <c r="AC35" s="19">
        <f t="shared" si="8"/>
        <v>0</v>
      </c>
      <c r="AD35" s="19">
        <f t="shared" si="20"/>
        <v>35.099215692002645</v>
      </c>
      <c r="AE35" s="23">
        <f t="shared" si="9"/>
        <v>1087.6022156920026</v>
      </c>
      <c r="AF35" s="27">
        <f>(1/(2*LOG(3.7*$I35/'Calculation Constants'!$B$4*1000)))^2</f>
        <v>1.1458969193927592E-2</v>
      </c>
      <c r="AG35" s="19">
        <f t="shared" si="10"/>
        <v>1.274999100520025</v>
      </c>
      <c r="AH35" s="19">
        <f>IF($H35&gt;0,'Calculation Constants'!$B$9*Hydraulics!$K35^2/2/9.81/MAX($F$4:$F$253)*$H35,"")</f>
        <v>6.3421890311175441E-2</v>
      </c>
      <c r="AI35" s="19">
        <f t="shared" si="21"/>
        <v>1.3384209908312004</v>
      </c>
      <c r="AJ35" s="19">
        <f t="shared" si="11"/>
        <v>0</v>
      </c>
      <c r="AK35" s="19">
        <f t="shared" si="22"/>
        <v>31.060159192542642</v>
      </c>
      <c r="AL35" s="23">
        <f t="shared" si="12"/>
        <v>1083.5631591925426</v>
      </c>
      <c r="AM35" s="22">
        <f>(1/(2*LOG(3.7*($I35-0.008)/'Calculation Constants'!$B$5*1000)))^2</f>
        <v>1.4542845531075887E-2</v>
      </c>
      <c r="AN35" s="19">
        <f t="shared" si="23"/>
        <v>1.6249731396833385</v>
      </c>
      <c r="AO35" s="19">
        <f>IF($H35&gt;0,'Calculation Constants'!$B$9*Hydraulics!$K35^2/2/9.81/MAX($F$4:$F$253)*$H35,"")</f>
        <v>6.3421890311175441E-2</v>
      </c>
      <c r="AP35" s="19">
        <f t="shared" si="24"/>
        <v>1.6883950299945139</v>
      </c>
      <c r="AQ35" s="19">
        <f t="shared" si="13"/>
        <v>0</v>
      </c>
      <c r="AR35" s="19">
        <f t="shared" si="25"/>
        <v>23.710704370113945</v>
      </c>
      <c r="AS35" s="23">
        <f t="shared" si="14"/>
        <v>1076.2137043701139</v>
      </c>
    </row>
    <row r="36" spans="5:45">
      <c r="E36" s="35" t="str">
        <f t="shared" si="0"/>
        <v/>
      </c>
      <c r="F36" s="19">
        <f>'Profile data'!A36</f>
        <v>66</v>
      </c>
      <c r="G36" s="19">
        <f>VLOOKUP(F36,'Profile data'!A36:C295,IF($B$22="Botswana 1",2,3))</f>
        <v>1046.0219999999999</v>
      </c>
      <c r="H36" s="19">
        <f t="shared" si="26"/>
        <v>2</v>
      </c>
      <c r="I36" s="19">
        <v>1.9</v>
      </c>
      <c r="J36" s="36">
        <f>'Flow Rate Calculations'!$B$7</f>
        <v>4.0831050228310497</v>
      </c>
      <c r="K36" s="36">
        <f t="shared" si="15"/>
        <v>1.440102709245225</v>
      </c>
      <c r="L36" s="37">
        <f>$I36*$K36/'Calculation Constants'!$B$7</f>
        <v>2421411.6350140949</v>
      </c>
      <c r="M36" s="37">
        <f t="shared" si="1"/>
        <v>65.648000000000138</v>
      </c>
      <c r="N36" s="23">
        <f t="shared" si="16"/>
        <v>43.029791235093853</v>
      </c>
      <c r="O36" s="55">
        <f t="shared" si="2"/>
        <v>65.648000000000138</v>
      </c>
      <c r="P36" s="64">
        <f>MAX(I36*1000/'Calculation Constants'!$B$14,O36*10*I36*1000/2/('Calculation Constants'!$B$12*1000*'Calculation Constants'!$B$13))</f>
        <v>11.875</v>
      </c>
      <c r="Q36" s="66">
        <f t="shared" si="3"/>
        <v>1105894.9783427313</v>
      </c>
      <c r="R36" s="27">
        <f>(1/(2*LOG(3.7*$I36/'Calculation Constants'!$B$2*1000)))^2</f>
        <v>8.6699836115820689E-3</v>
      </c>
      <c r="S36" s="19">
        <f t="shared" si="17"/>
        <v>0.96467850809376621</v>
      </c>
      <c r="T36" s="19">
        <f>IF($H36&gt;0,'Calculation Constants'!$B$9*Hydraulics!$K36^2/2/9.81/MAX($F$4:$F$253)*$H36,"")</f>
        <v>6.3421890311175441E-2</v>
      </c>
      <c r="U36" s="19">
        <f t="shared" si="18"/>
        <v>1.0281003984049417</v>
      </c>
      <c r="V36" s="19">
        <f t="shared" si="4"/>
        <v>0</v>
      </c>
      <c r="W36" s="19">
        <f t="shared" si="5"/>
        <v>43.029791235093853</v>
      </c>
      <c r="X36" s="23">
        <f t="shared" si="6"/>
        <v>1089.0517912350938</v>
      </c>
      <c r="Y36" s="22">
        <f>(1/(2*LOG(3.7*$I36/'Calculation Constants'!$B$3*1000)))^2</f>
        <v>9.7303620360708887E-3</v>
      </c>
      <c r="Z36" s="19">
        <f t="shared" si="7"/>
        <v>1.0826630767363397</v>
      </c>
      <c r="AA36" s="19">
        <f>IF($H36&gt;0,'Calculation Constants'!$B$9*Hydraulics!$K36^2/2/9.81/MAX($F$4:$F$253)*$H36,"")</f>
        <v>6.3421890311175441E-2</v>
      </c>
      <c r="AB36" s="19">
        <f t="shared" si="27"/>
        <v>1.1460849670475151</v>
      </c>
      <c r="AC36" s="19">
        <f t="shared" si="8"/>
        <v>0</v>
      </c>
      <c r="AD36" s="19">
        <f t="shared" si="20"/>
        <v>40.434130724955139</v>
      </c>
      <c r="AE36" s="23">
        <f t="shared" si="9"/>
        <v>1086.4561307249551</v>
      </c>
      <c r="AF36" s="27">
        <f>(1/(2*LOG(3.7*$I36/'Calculation Constants'!$B$4*1000)))^2</f>
        <v>1.1458969193927592E-2</v>
      </c>
      <c r="AG36" s="19">
        <f t="shared" si="10"/>
        <v>1.274999100520025</v>
      </c>
      <c r="AH36" s="19">
        <f>IF($H36&gt;0,'Calculation Constants'!$B$9*Hydraulics!$K36^2/2/9.81/MAX($F$4:$F$253)*$H36,"")</f>
        <v>6.3421890311175441E-2</v>
      </c>
      <c r="AI36" s="19">
        <f t="shared" si="21"/>
        <v>1.3384209908312004</v>
      </c>
      <c r="AJ36" s="19">
        <f t="shared" si="11"/>
        <v>0</v>
      </c>
      <c r="AK36" s="19">
        <f t="shared" si="22"/>
        <v>36.202738201711327</v>
      </c>
      <c r="AL36" s="23">
        <f t="shared" si="12"/>
        <v>1082.2247382017113</v>
      </c>
      <c r="AM36" s="22">
        <f>(1/(2*LOG(3.7*($I36-0.008)/'Calculation Constants'!$B$5*1000)))^2</f>
        <v>1.4542845531075887E-2</v>
      </c>
      <c r="AN36" s="19">
        <f t="shared" si="23"/>
        <v>1.6249731396833385</v>
      </c>
      <c r="AO36" s="19">
        <f>IF($H36&gt;0,'Calculation Constants'!$B$9*Hydraulics!$K36^2/2/9.81/MAX($F$4:$F$253)*$H36,"")</f>
        <v>6.3421890311175441E-2</v>
      </c>
      <c r="AP36" s="19">
        <f t="shared" si="24"/>
        <v>1.6883950299945139</v>
      </c>
      <c r="AQ36" s="19">
        <f t="shared" si="13"/>
        <v>0</v>
      </c>
      <c r="AR36" s="19">
        <f t="shared" si="25"/>
        <v>28.503309340119358</v>
      </c>
      <c r="AS36" s="23">
        <f t="shared" si="14"/>
        <v>1074.5253093401193</v>
      </c>
    </row>
    <row r="37" spans="5:45">
      <c r="E37" s="35" t="str">
        <f t="shared" si="0"/>
        <v/>
      </c>
      <c r="F37" s="19">
        <f>'Profile data'!A37</f>
        <v>68</v>
      </c>
      <c r="G37" s="19">
        <f>VLOOKUP(F37,'Profile data'!A37:C296,IF($B$22="Botswana 1",2,3))</f>
        <v>1036.575</v>
      </c>
      <c r="H37" s="19">
        <f t="shared" si="26"/>
        <v>2</v>
      </c>
      <c r="I37" s="19">
        <v>1.9</v>
      </c>
      <c r="J37" s="36">
        <f>'Flow Rate Calculations'!$B$7</f>
        <v>4.0831050228310497</v>
      </c>
      <c r="K37" s="36">
        <f t="shared" si="15"/>
        <v>1.440102709245225</v>
      </c>
      <c r="L37" s="37">
        <f>$I37*$K37/'Calculation Constants'!$B$7</f>
        <v>2421411.6350140949</v>
      </c>
      <c r="M37" s="37">
        <f t="shared" si="1"/>
        <v>75.095000000000027</v>
      </c>
      <c r="N37" s="23">
        <f t="shared" si="16"/>
        <v>51.448690836688911</v>
      </c>
      <c r="O37" s="55">
        <f t="shared" si="2"/>
        <v>75.095000000000027</v>
      </c>
      <c r="P37" s="64">
        <f>MAX(I37*1000/'Calculation Constants'!$B$14,O37*10*I37*1000/2/('Calculation Constants'!$B$12*1000*'Calculation Constants'!$B$13))</f>
        <v>11.875</v>
      </c>
      <c r="Q37" s="66">
        <f t="shared" si="3"/>
        <v>1105894.9783427313</v>
      </c>
      <c r="R37" s="27">
        <f>(1/(2*LOG(3.7*$I37/'Calculation Constants'!$B$2*1000)))^2</f>
        <v>8.6699836115820689E-3</v>
      </c>
      <c r="S37" s="19">
        <f t="shared" si="17"/>
        <v>0.96467850809376621</v>
      </c>
      <c r="T37" s="19">
        <f>IF($H37&gt;0,'Calculation Constants'!$B$9*Hydraulics!$K37^2/2/9.81/MAX($F$4:$F$253)*$H37,"")</f>
        <v>6.3421890311175441E-2</v>
      </c>
      <c r="U37" s="19">
        <f t="shared" si="18"/>
        <v>1.0281003984049417</v>
      </c>
      <c r="V37" s="19">
        <f t="shared" si="4"/>
        <v>0</v>
      </c>
      <c r="W37" s="19">
        <f t="shared" si="5"/>
        <v>51.448690836688911</v>
      </c>
      <c r="X37" s="23">
        <f t="shared" si="6"/>
        <v>1088.023690836689</v>
      </c>
      <c r="Y37" s="22">
        <f>(1/(2*LOG(3.7*$I37/'Calculation Constants'!$B$3*1000)))^2</f>
        <v>9.7303620360708887E-3</v>
      </c>
      <c r="Z37" s="19">
        <f t="shared" si="7"/>
        <v>1.0826630767363397</v>
      </c>
      <c r="AA37" s="19">
        <f>IF($H37&gt;0,'Calculation Constants'!$B$9*Hydraulics!$K37^2/2/9.81/MAX($F$4:$F$253)*$H37,"")</f>
        <v>6.3421890311175441E-2</v>
      </c>
      <c r="AB37" s="19">
        <f t="shared" si="27"/>
        <v>1.1460849670475151</v>
      </c>
      <c r="AC37" s="19">
        <f t="shared" si="8"/>
        <v>0</v>
      </c>
      <c r="AD37" s="19">
        <f t="shared" si="20"/>
        <v>48.735045757907528</v>
      </c>
      <c r="AE37" s="23">
        <f t="shared" si="9"/>
        <v>1085.3100457579076</v>
      </c>
      <c r="AF37" s="27">
        <f>(1/(2*LOG(3.7*$I37/'Calculation Constants'!$B$4*1000)))^2</f>
        <v>1.1458969193927592E-2</v>
      </c>
      <c r="AG37" s="19">
        <f t="shared" si="10"/>
        <v>1.274999100520025</v>
      </c>
      <c r="AH37" s="19">
        <f>IF($H37&gt;0,'Calculation Constants'!$B$9*Hydraulics!$K37^2/2/9.81/MAX($F$4:$F$253)*$H37,"")</f>
        <v>6.3421890311175441E-2</v>
      </c>
      <c r="AI37" s="19">
        <f t="shared" si="21"/>
        <v>1.3384209908312004</v>
      </c>
      <c r="AJ37" s="19">
        <f t="shared" si="11"/>
        <v>0</v>
      </c>
      <c r="AK37" s="19">
        <f t="shared" si="22"/>
        <v>44.311317210879906</v>
      </c>
      <c r="AL37" s="23">
        <f t="shared" si="12"/>
        <v>1080.88631721088</v>
      </c>
      <c r="AM37" s="22">
        <f>(1/(2*LOG(3.7*($I37-0.008)/'Calculation Constants'!$B$5*1000)))^2</f>
        <v>1.4542845531075887E-2</v>
      </c>
      <c r="AN37" s="19">
        <f t="shared" si="23"/>
        <v>1.6249731396833385</v>
      </c>
      <c r="AO37" s="19">
        <f>IF($H37&gt;0,'Calculation Constants'!$B$9*Hydraulics!$K37^2/2/9.81/MAX($F$4:$F$253)*$H37,"")</f>
        <v>6.3421890311175441E-2</v>
      </c>
      <c r="AP37" s="19">
        <f t="shared" si="24"/>
        <v>1.6883950299945139</v>
      </c>
      <c r="AQ37" s="19">
        <f t="shared" si="13"/>
        <v>0</v>
      </c>
      <c r="AR37" s="19">
        <f t="shared" si="25"/>
        <v>36.261914310124666</v>
      </c>
      <c r="AS37" s="23">
        <f t="shared" si="14"/>
        <v>1072.8369143101247</v>
      </c>
    </row>
    <row r="38" spans="5:45">
      <c r="E38" s="35" t="str">
        <f t="shared" si="0"/>
        <v/>
      </c>
      <c r="F38" s="19">
        <f>'Profile data'!A38</f>
        <v>70</v>
      </c>
      <c r="G38" s="19">
        <f>VLOOKUP(F38,'Profile data'!A38:C297,IF($B$22="Botswana 1",2,3))</f>
        <v>1031.818</v>
      </c>
      <c r="H38" s="19">
        <f t="shared" si="26"/>
        <v>2</v>
      </c>
      <c r="I38" s="19">
        <v>1.9</v>
      </c>
      <c r="J38" s="36">
        <f>'Flow Rate Calculations'!$B$7</f>
        <v>4.0831050228310497</v>
      </c>
      <c r="K38" s="36">
        <f t="shared" si="15"/>
        <v>1.440102709245225</v>
      </c>
      <c r="L38" s="37">
        <f>$I38*$K38/'Calculation Constants'!$B$7</f>
        <v>2421411.6350140949</v>
      </c>
      <c r="M38" s="37">
        <f t="shared" si="1"/>
        <v>79.852000000000089</v>
      </c>
      <c r="N38" s="23">
        <f t="shared" si="16"/>
        <v>55.177590438284142</v>
      </c>
      <c r="O38" s="55">
        <f t="shared" si="2"/>
        <v>79.852000000000089</v>
      </c>
      <c r="P38" s="64">
        <f>MAX(I38*1000/'Calculation Constants'!$B$14,O38*10*I38*1000/2/('Calculation Constants'!$B$12*1000*'Calculation Constants'!$B$13))</f>
        <v>11.875</v>
      </c>
      <c r="Q38" s="66">
        <f t="shared" si="3"/>
        <v>1105894.9783427313</v>
      </c>
      <c r="R38" s="27">
        <f>(1/(2*LOG(3.7*$I38/'Calculation Constants'!$B$2*1000)))^2</f>
        <v>8.6699836115820689E-3</v>
      </c>
      <c r="S38" s="19">
        <f t="shared" si="17"/>
        <v>0.96467850809376621</v>
      </c>
      <c r="T38" s="19">
        <f>IF($H38&gt;0,'Calculation Constants'!$B$9*Hydraulics!$K38^2/2/9.81/MAX($F$4:$F$253)*$H38,"")</f>
        <v>6.3421890311175441E-2</v>
      </c>
      <c r="U38" s="19">
        <f t="shared" si="18"/>
        <v>1.0281003984049417</v>
      </c>
      <c r="V38" s="19">
        <f t="shared" si="4"/>
        <v>0</v>
      </c>
      <c r="W38" s="19">
        <f t="shared" si="5"/>
        <v>55.177590438284142</v>
      </c>
      <c r="X38" s="23">
        <f t="shared" si="6"/>
        <v>1086.9955904382841</v>
      </c>
      <c r="Y38" s="22">
        <f>(1/(2*LOG(3.7*$I38/'Calculation Constants'!$B$3*1000)))^2</f>
        <v>9.7303620360708887E-3</v>
      </c>
      <c r="Z38" s="19">
        <f t="shared" si="7"/>
        <v>1.0826630767363397</v>
      </c>
      <c r="AA38" s="19">
        <f>IF($H38&gt;0,'Calculation Constants'!$B$9*Hydraulics!$K38^2/2/9.81/MAX($F$4:$F$253)*$H38,"")</f>
        <v>6.3421890311175441E-2</v>
      </c>
      <c r="AB38" s="19">
        <f t="shared" si="27"/>
        <v>1.1460849670475151</v>
      </c>
      <c r="AC38" s="19">
        <f t="shared" si="8"/>
        <v>0</v>
      </c>
      <c r="AD38" s="19">
        <f t="shared" si="20"/>
        <v>52.34596079086009</v>
      </c>
      <c r="AE38" s="23">
        <f t="shared" si="9"/>
        <v>1084.1639607908601</v>
      </c>
      <c r="AF38" s="27">
        <f>(1/(2*LOG(3.7*$I38/'Calculation Constants'!$B$4*1000)))^2</f>
        <v>1.1458969193927592E-2</v>
      </c>
      <c r="AG38" s="19">
        <f t="shared" si="10"/>
        <v>1.274999100520025</v>
      </c>
      <c r="AH38" s="19">
        <f>IF($H38&gt;0,'Calculation Constants'!$B$9*Hydraulics!$K38^2/2/9.81/MAX($F$4:$F$253)*$H38,"")</f>
        <v>6.3421890311175441E-2</v>
      </c>
      <c r="AI38" s="19">
        <f t="shared" si="21"/>
        <v>1.3384209908312004</v>
      </c>
      <c r="AJ38" s="19">
        <f t="shared" si="11"/>
        <v>0</v>
      </c>
      <c r="AK38" s="19">
        <f t="shared" si="22"/>
        <v>47.729896220048659</v>
      </c>
      <c r="AL38" s="23">
        <f t="shared" si="12"/>
        <v>1079.5478962200486</v>
      </c>
      <c r="AM38" s="22">
        <f>(1/(2*LOG(3.7*($I38-0.008)/'Calculation Constants'!$B$5*1000)))^2</f>
        <v>1.4542845531075887E-2</v>
      </c>
      <c r="AN38" s="19">
        <f t="shared" si="23"/>
        <v>1.6249731396833385</v>
      </c>
      <c r="AO38" s="19">
        <f>IF($H38&gt;0,'Calculation Constants'!$B$9*Hydraulics!$K38^2/2/9.81/MAX($F$4:$F$253)*$H38,"")</f>
        <v>6.3421890311175441E-2</v>
      </c>
      <c r="AP38" s="19">
        <f t="shared" si="24"/>
        <v>1.6883950299945139</v>
      </c>
      <c r="AQ38" s="19">
        <f t="shared" si="13"/>
        <v>0</v>
      </c>
      <c r="AR38" s="19">
        <f t="shared" si="25"/>
        <v>39.330519280130147</v>
      </c>
      <c r="AS38" s="23">
        <f t="shared" si="14"/>
        <v>1071.1485192801301</v>
      </c>
    </row>
    <row r="39" spans="5:45">
      <c r="E39" s="35" t="str">
        <f t="shared" si="0"/>
        <v/>
      </c>
      <c r="F39" s="19">
        <f>'Profile data'!A39</f>
        <v>72</v>
      </c>
      <c r="G39" s="19">
        <f>VLOOKUP(F39,'Profile data'!A39:C298,IF($B$22="Botswana 1",2,3))</f>
        <v>1027.675</v>
      </c>
      <c r="H39" s="19">
        <f t="shared" si="26"/>
        <v>2</v>
      </c>
      <c r="I39" s="19">
        <v>1.9</v>
      </c>
      <c r="J39" s="36">
        <f>'Flow Rate Calculations'!$B$7</f>
        <v>4.0831050228310497</v>
      </c>
      <c r="K39" s="36">
        <f t="shared" si="15"/>
        <v>1.440102709245225</v>
      </c>
      <c r="L39" s="37">
        <f>$I39*$K39/'Calculation Constants'!$B$7</f>
        <v>2421411.6350140949</v>
      </c>
      <c r="M39" s="37">
        <f t="shared" si="1"/>
        <v>83.995000000000118</v>
      </c>
      <c r="N39" s="23">
        <f t="shared" si="16"/>
        <v>58.29249003987934</v>
      </c>
      <c r="O39" s="55">
        <f t="shared" si="2"/>
        <v>83.995000000000118</v>
      </c>
      <c r="P39" s="64">
        <f>MAX(I39*1000/'Calculation Constants'!$B$14,O39*10*I39*1000/2/('Calculation Constants'!$B$12*1000*'Calculation Constants'!$B$13))</f>
        <v>11.875</v>
      </c>
      <c r="Q39" s="66">
        <f t="shared" si="3"/>
        <v>1105894.9783427313</v>
      </c>
      <c r="R39" s="27">
        <f>(1/(2*LOG(3.7*$I39/'Calculation Constants'!$B$2*1000)))^2</f>
        <v>8.6699836115820689E-3</v>
      </c>
      <c r="S39" s="19">
        <f t="shared" si="17"/>
        <v>0.96467850809376621</v>
      </c>
      <c r="T39" s="19">
        <f>IF($H39&gt;0,'Calculation Constants'!$B$9*Hydraulics!$K39^2/2/9.81/MAX($F$4:$F$253)*$H39,"")</f>
        <v>6.3421890311175441E-2</v>
      </c>
      <c r="U39" s="19">
        <f t="shared" si="18"/>
        <v>1.0281003984049417</v>
      </c>
      <c r="V39" s="19">
        <f t="shared" si="4"/>
        <v>0</v>
      </c>
      <c r="W39" s="19">
        <f t="shared" si="5"/>
        <v>58.29249003987934</v>
      </c>
      <c r="X39" s="23">
        <f t="shared" si="6"/>
        <v>1085.9674900398793</v>
      </c>
      <c r="Y39" s="22">
        <f>(1/(2*LOG(3.7*$I39/'Calculation Constants'!$B$3*1000)))^2</f>
        <v>9.7303620360708887E-3</v>
      </c>
      <c r="Z39" s="19">
        <f t="shared" si="7"/>
        <v>1.0826630767363397</v>
      </c>
      <c r="AA39" s="19">
        <f>IF($H39&gt;0,'Calculation Constants'!$B$9*Hydraulics!$K39^2/2/9.81/MAX($F$4:$F$253)*$H39,"")</f>
        <v>6.3421890311175441E-2</v>
      </c>
      <c r="AB39" s="19">
        <f t="shared" si="27"/>
        <v>1.1460849670475151</v>
      </c>
      <c r="AC39" s="19">
        <f t="shared" si="8"/>
        <v>0</v>
      </c>
      <c r="AD39" s="19">
        <f t="shared" si="20"/>
        <v>55.342875823812619</v>
      </c>
      <c r="AE39" s="23">
        <f t="shared" si="9"/>
        <v>1083.0178758238126</v>
      </c>
      <c r="AF39" s="27">
        <f>(1/(2*LOG(3.7*$I39/'Calculation Constants'!$B$4*1000)))^2</f>
        <v>1.1458969193927592E-2</v>
      </c>
      <c r="AG39" s="19">
        <f t="shared" si="10"/>
        <v>1.274999100520025</v>
      </c>
      <c r="AH39" s="19">
        <f>IF($H39&gt;0,'Calculation Constants'!$B$9*Hydraulics!$K39^2/2/9.81/MAX($F$4:$F$253)*$H39,"")</f>
        <v>6.3421890311175441E-2</v>
      </c>
      <c r="AI39" s="19">
        <f t="shared" si="21"/>
        <v>1.3384209908312004</v>
      </c>
      <c r="AJ39" s="19">
        <f t="shared" si="11"/>
        <v>0</v>
      </c>
      <c r="AK39" s="19">
        <f t="shared" si="22"/>
        <v>50.534475229217378</v>
      </c>
      <c r="AL39" s="23">
        <f t="shared" si="12"/>
        <v>1078.2094752292173</v>
      </c>
      <c r="AM39" s="22">
        <f>(1/(2*LOG(3.7*($I39-0.008)/'Calculation Constants'!$B$5*1000)))^2</f>
        <v>1.4542845531075887E-2</v>
      </c>
      <c r="AN39" s="19">
        <f t="shared" si="23"/>
        <v>1.6249731396833385</v>
      </c>
      <c r="AO39" s="19">
        <f>IF($H39&gt;0,'Calculation Constants'!$B$9*Hydraulics!$K39^2/2/9.81/MAX($F$4:$F$253)*$H39,"")</f>
        <v>6.3421890311175441E-2</v>
      </c>
      <c r="AP39" s="19">
        <f t="shared" si="24"/>
        <v>1.6883950299945139</v>
      </c>
      <c r="AQ39" s="19">
        <f t="shared" si="13"/>
        <v>0</v>
      </c>
      <c r="AR39" s="19">
        <f t="shared" si="25"/>
        <v>41.785124250135596</v>
      </c>
      <c r="AS39" s="23">
        <f t="shared" si="14"/>
        <v>1069.4601242501356</v>
      </c>
    </row>
    <row r="40" spans="5:45">
      <c r="E40" s="35" t="str">
        <f t="shared" si="0"/>
        <v/>
      </c>
      <c r="F40" s="19">
        <f>'Profile data'!A40</f>
        <v>74</v>
      </c>
      <c r="G40" s="19">
        <f>VLOOKUP(F40,'Profile data'!A40:C299,IF($B$22="Botswana 1",2,3))</f>
        <v>1023.8440000000001</v>
      </c>
      <c r="H40" s="19">
        <f t="shared" si="26"/>
        <v>2</v>
      </c>
      <c r="I40" s="19">
        <v>1.9</v>
      </c>
      <c r="J40" s="36">
        <f>'Flow Rate Calculations'!$B$7</f>
        <v>4.0831050228310497</v>
      </c>
      <c r="K40" s="36">
        <f t="shared" si="15"/>
        <v>1.440102709245225</v>
      </c>
      <c r="L40" s="37">
        <f>$I40*$K40/'Calculation Constants'!$B$7</f>
        <v>2421411.6350140949</v>
      </c>
      <c r="M40" s="37">
        <f t="shared" si="1"/>
        <v>87.826000000000022</v>
      </c>
      <c r="N40" s="23">
        <f t="shared" si="16"/>
        <v>61.095389641474412</v>
      </c>
      <c r="O40" s="55">
        <f t="shared" si="2"/>
        <v>87.826000000000022</v>
      </c>
      <c r="P40" s="64">
        <f>MAX(I40*1000/'Calculation Constants'!$B$14,O40*10*I40*1000/2/('Calculation Constants'!$B$12*1000*'Calculation Constants'!$B$13))</f>
        <v>11.875</v>
      </c>
      <c r="Q40" s="66">
        <f t="shared" si="3"/>
        <v>1105894.9783427313</v>
      </c>
      <c r="R40" s="27">
        <f>(1/(2*LOG(3.7*$I40/'Calculation Constants'!$B$2*1000)))^2</f>
        <v>8.6699836115820689E-3</v>
      </c>
      <c r="S40" s="19">
        <f t="shared" si="17"/>
        <v>0.96467850809376621</v>
      </c>
      <c r="T40" s="19">
        <f>IF($H40&gt;0,'Calculation Constants'!$B$9*Hydraulics!$K40^2/2/9.81/MAX($F$4:$F$253)*$H40,"")</f>
        <v>6.3421890311175441E-2</v>
      </c>
      <c r="U40" s="19">
        <f t="shared" si="18"/>
        <v>1.0281003984049417</v>
      </c>
      <c r="V40" s="19">
        <f t="shared" si="4"/>
        <v>0</v>
      </c>
      <c r="W40" s="19">
        <f t="shared" si="5"/>
        <v>61.095389641474412</v>
      </c>
      <c r="X40" s="23">
        <f t="shared" si="6"/>
        <v>1084.9393896414745</v>
      </c>
      <c r="Y40" s="22">
        <f>(1/(2*LOG(3.7*$I40/'Calculation Constants'!$B$3*1000)))^2</f>
        <v>9.7303620360708887E-3</v>
      </c>
      <c r="Z40" s="19">
        <f t="shared" si="7"/>
        <v>1.0826630767363397</v>
      </c>
      <c r="AA40" s="19">
        <f>IF($H40&gt;0,'Calculation Constants'!$B$9*Hydraulics!$K40^2/2/9.81/MAX($F$4:$F$253)*$H40,"")</f>
        <v>6.3421890311175441E-2</v>
      </c>
      <c r="AB40" s="19">
        <f t="shared" si="27"/>
        <v>1.1460849670475151</v>
      </c>
      <c r="AC40" s="19">
        <f t="shared" si="8"/>
        <v>0</v>
      </c>
      <c r="AD40" s="19">
        <f t="shared" si="20"/>
        <v>58.027790856765023</v>
      </c>
      <c r="AE40" s="23">
        <f t="shared" si="9"/>
        <v>1081.8717908567651</v>
      </c>
      <c r="AF40" s="27">
        <f>(1/(2*LOG(3.7*$I40/'Calculation Constants'!$B$4*1000)))^2</f>
        <v>1.1458969193927592E-2</v>
      </c>
      <c r="AG40" s="19">
        <f t="shared" si="10"/>
        <v>1.274999100520025</v>
      </c>
      <c r="AH40" s="19">
        <f>IF($H40&gt;0,'Calculation Constants'!$B$9*Hydraulics!$K40^2/2/9.81/MAX($F$4:$F$253)*$H40,"")</f>
        <v>6.3421890311175441E-2</v>
      </c>
      <c r="AI40" s="19">
        <f t="shared" si="21"/>
        <v>1.3384209908312004</v>
      </c>
      <c r="AJ40" s="19">
        <f t="shared" si="11"/>
        <v>0</v>
      </c>
      <c r="AK40" s="19">
        <f t="shared" si="22"/>
        <v>53.027054238385972</v>
      </c>
      <c r="AL40" s="23">
        <f t="shared" si="12"/>
        <v>1076.871054238386</v>
      </c>
      <c r="AM40" s="22">
        <f>(1/(2*LOG(3.7*($I40-0.008)/'Calculation Constants'!$B$5*1000)))^2</f>
        <v>1.4542845531075887E-2</v>
      </c>
      <c r="AN40" s="19">
        <f t="shared" si="23"/>
        <v>1.6249731396833385</v>
      </c>
      <c r="AO40" s="19">
        <f>IF($H40&gt;0,'Calculation Constants'!$B$9*Hydraulics!$K40^2/2/9.81/MAX($F$4:$F$253)*$H40,"")</f>
        <v>6.3421890311175441E-2</v>
      </c>
      <c r="AP40" s="19">
        <f t="shared" si="24"/>
        <v>1.6883950299945139</v>
      </c>
      <c r="AQ40" s="19">
        <f t="shared" si="13"/>
        <v>0</v>
      </c>
      <c r="AR40" s="19">
        <f t="shared" si="25"/>
        <v>43.927729220140918</v>
      </c>
      <c r="AS40" s="23">
        <f t="shared" si="14"/>
        <v>1067.771729220141</v>
      </c>
    </row>
    <row r="41" spans="5:45">
      <c r="E41" s="35" t="str">
        <f t="shared" si="0"/>
        <v/>
      </c>
      <c r="F41" s="19">
        <f>'Profile data'!A41</f>
        <v>76</v>
      </c>
      <c r="G41" s="19">
        <f>VLOOKUP(F41,'Profile data'!A41:C300,IF($B$22="Botswana 1",2,3))</f>
        <v>1020.888</v>
      </c>
      <c r="H41" s="19">
        <f t="shared" si="26"/>
        <v>2</v>
      </c>
      <c r="I41" s="19">
        <v>1.9</v>
      </c>
      <c r="J41" s="36">
        <f>'Flow Rate Calculations'!$B$7</f>
        <v>4.0831050228310497</v>
      </c>
      <c r="K41" s="36">
        <f t="shared" si="15"/>
        <v>1.440102709245225</v>
      </c>
      <c r="L41" s="37">
        <f>$I41*$K41/'Calculation Constants'!$B$7</f>
        <v>2421411.6350140949</v>
      </c>
      <c r="M41" s="37">
        <f t="shared" si="1"/>
        <v>90.782000000000039</v>
      </c>
      <c r="N41" s="23">
        <f t="shared" si="16"/>
        <v>63.023289243069598</v>
      </c>
      <c r="O41" s="55">
        <f t="shared" si="2"/>
        <v>90.782000000000039</v>
      </c>
      <c r="P41" s="64">
        <f>MAX(I41*1000/'Calculation Constants'!$B$14,O41*10*I41*1000/2/('Calculation Constants'!$B$12*1000*'Calculation Constants'!$B$13))</f>
        <v>11.875</v>
      </c>
      <c r="Q41" s="66">
        <f t="shared" si="3"/>
        <v>1105894.9783427313</v>
      </c>
      <c r="R41" s="27">
        <f>(1/(2*LOG(3.7*$I41/'Calculation Constants'!$B$2*1000)))^2</f>
        <v>8.6699836115820689E-3</v>
      </c>
      <c r="S41" s="19">
        <f t="shared" si="17"/>
        <v>0.96467850809376621</v>
      </c>
      <c r="T41" s="19">
        <f>IF($H41&gt;0,'Calculation Constants'!$B$9*Hydraulics!$K41^2/2/9.81/MAX($F$4:$F$253)*$H41,"")</f>
        <v>6.3421890311175441E-2</v>
      </c>
      <c r="U41" s="19">
        <f t="shared" si="18"/>
        <v>1.0281003984049417</v>
      </c>
      <c r="V41" s="19">
        <f t="shared" si="4"/>
        <v>0</v>
      </c>
      <c r="W41" s="19">
        <f t="shared" si="5"/>
        <v>63.023289243069598</v>
      </c>
      <c r="X41" s="23">
        <f t="shared" si="6"/>
        <v>1083.9112892430696</v>
      </c>
      <c r="Y41" s="22">
        <f>(1/(2*LOG(3.7*$I41/'Calculation Constants'!$B$3*1000)))^2</f>
        <v>9.7303620360708887E-3</v>
      </c>
      <c r="Z41" s="19">
        <f t="shared" si="7"/>
        <v>1.0826630767363397</v>
      </c>
      <c r="AA41" s="19">
        <f>IF($H41&gt;0,'Calculation Constants'!$B$9*Hydraulics!$K41^2/2/9.81/MAX($F$4:$F$253)*$H41,"")</f>
        <v>6.3421890311175441E-2</v>
      </c>
      <c r="AB41" s="19">
        <f t="shared" si="27"/>
        <v>1.1460849670475151</v>
      </c>
      <c r="AC41" s="19">
        <f t="shared" si="8"/>
        <v>0</v>
      </c>
      <c r="AD41" s="19">
        <f t="shared" si="20"/>
        <v>59.83770588971754</v>
      </c>
      <c r="AE41" s="23">
        <f t="shared" si="9"/>
        <v>1080.7257058897176</v>
      </c>
      <c r="AF41" s="27">
        <f>(1/(2*LOG(3.7*$I41/'Calculation Constants'!$B$4*1000)))^2</f>
        <v>1.1458969193927592E-2</v>
      </c>
      <c r="AG41" s="19">
        <f t="shared" si="10"/>
        <v>1.274999100520025</v>
      </c>
      <c r="AH41" s="19">
        <f>IF($H41&gt;0,'Calculation Constants'!$B$9*Hydraulics!$K41^2/2/9.81/MAX($F$4:$F$253)*$H41,"")</f>
        <v>6.3421890311175441E-2</v>
      </c>
      <c r="AI41" s="19">
        <f t="shared" si="21"/>
        <v>1.3384209908312004</v>
      </c>
      <c r="AJ41" s="19">
        <f t="shared" si="11"/>
        <v>0</v>
      </c>
      <c r="AK41" s="19">
        <f t="shared" si="22"/>
        <v>54.64463324755468</v>
      </c>
      <c r="AL41" s="23">
        <f t="shared" si="12"/>
        <v>1075.5326332475547</v>
      </c>
      <c r="AM41" s="22">
        <f>(1/(2*LOG(3.7*($I41-0.008)/'Calculation Constants'!$B$5*1000)))^2</f>
        <v>1.4542845531075887E-2</v>
      </c>
      <c r="AN41" s="19">
        <f t="shared" si="23"/>
        <v>1.6249731396833385</v>
      </c>
      <c r="AO41" s="19">
        <f>IF($H41&gt;0,'Calculation Constants'!$B$9*Hydraulics!$K41^2/2/9.81/MAX($F$4:$F$253)*$H41,"")</f>
        <v>6.3421890311175441E-2</v>
      </c>
      <c r="AP41" s="19">
        <f t="shared" si="24"/>
        <v>1.6883950299945139</v>
      </c>
      <c r="AQ41" s="19">
        <f t="shared" si="13"/>
        <v>0</v>
      </c>
      <c r="AR41" s="19">
        <f t="shared" si="25"/>
        <v>45.195334190146355</v>
      </c>
      <c r="AS41" s="23">
        <f t="shared" si="14"/>
        <v>1066.0833341901464</v>
      </c>
    </row>
    <row r="42" spans="5:45">
      <c r="E42" s="35" t="str">
        <f t="shared" si="0"/>
        <v/>
      </c>
      <c r="F42" s="19">
        <f>'Profile data'!A42</f>
        <v>78</v>
      </c>
      <c r="G42" s="19">
        <f>VLOOKUP(F42,'Profile data'!A42:C301,IF($B$22="Botswana 1",2,3))</f>
        <v>1023.648</v>
      </c>
      <c r="H42" s="19">
        <f t="shared" si="26"/>
        <v>2</v>
      </c>
      <c r="I42" s="19">
        <v>1.9</v>
      </c>
      <c r="J42" s="36">
        <f>'Flow Rate Calculations'!$B$7</f>
        <v>4.0831050228310497</v>
      </c>
      <c r="K42" s="36">
        <f t="shared" si="15"/>
        <v>1.440102709245225</v>
      </c>
      <c r="L42" s="37">
        <f>$I42*$K42/'Calculation Constants'!$B$7</f>
        <v>2421411.6350140949</v>
      </c>
      <c r="M42" s="37">
        <f t="shared" si="1"/>
        <v>88.022000000000048</v>
      </c>
      <c r="N42" s="23">
        <f t="shared" si="16"/>
        <v>59.235188844664776</v>
      </c>
      <c r="O42" s="55">
        <f t="shared" si="2"/>
        <v>88.022000000000048</v>
      </c>
      <c r="P42" s="64">
        <f>MAX(I42*1000/'Calculation Constants'!$B$14,O42*10*I42*1000/2/('Calculation Constants'!$B$12*1000*'Calculation Constants'!$B$13))</f>
        <v>11.875</v>
      </c>
      <c r="Q42" s="66">
        <f t="shared" si="3"/>
        <v>1105894.9783427313</v>
      </c>
      <c r="R42" s="27">
        <f>(1/(2*LOG(3.7*$I42/'Calculation Constants'!$B$2*1000)))^2</f>
        <v>8.6699836115820689E-3</v>
      </c>
      <c r="S42" s="19">
        <f t="shared" si="17"/>
        <v>0.96467850809376621</v>
      </c>
      <c r="T42" s="19">
        <f>IF($H42&gt;0,'Calculation Constants'!$B$9*Hydraulics!$K42^2/2/9.81/MAX($F$4:$F$253)*$H42,"")</f>
        <v>6.3421890311175441E-2</v>
      </c>
      <c r="U42" s="19">
        <f t="shared" si="18"/>
        <v>1.0281003984049417</v>
      </c>
      <c r="V42" s="19">
        <f t="shared" si="4"/>
        <v>0</v>
      </c>
      <c r="W42" s="19">
        <f t="shared" si="5"/>
        <v>59.235188844664776</v>
      </c>
      <c r="X42" s="23">
        <f t="shared" si="6"/>
        <v>1082.8831888446648</v>
      </c>
      <c r="Y42" s="22">
        <f>(1/(2*LOG(3.7*$I42/'Calculation Constants'!$B$3*1000)))^2</f>
        <v>9.7303620360708887E-3</v>
      </c>
      <c r="Z42" s="19">
        <f t="shared" si="7"/>
        <v>1.0826630767363397</v>
      </c>
      <c r="AA42" s="19">
        <f>IF($H42&gt;0,'Calculation Constants'!$B$9*Hydraulics!$K42^2/2/9.81/MAX($F$4:$F$253)*$H42,"")</f>
        <v>6.3421890311175441E-2</v>
      </c>
      <c r="AB42" s="19">
        <f t="shared" si="27"/>
        <v>1.1460849670475151</v>
      </c>
      <c r="AC42" s="19">
        <f t="shared" si="8"/>
        <v>0</v>
      </c>
      <c r="AD42" s="19">
        <f t="shared" si="20"/>
        <v>55.931620922670049</v>
      </c>
      <c r="AE42" s="23">
        <f t="shared" si="9"/>
        <v>1079.5796209226701</v>
      </c>
      <c r="AF42" s="27">
        <f>(1/(2*LOG(3.7*$I42/'Calculation Constants'!$B$4*1000)))^2</f>
        <v>1.1458969193927592E-2</v>
      </c>
      <c r="AG42" s="19">
        <f t="shared" si="10"/>
        <v>1.274999100520025</v>
      </c>
      <c r="AH42" s="19">
        <f>IF($H42&gt;0,'Calculation Constants'!$B$9*Hydraulics!$K42^2/2/9.81/MAX($F$4:$F$253)*$H42,"")</f>
        <v>6.3421890311175441E-2</v>
      </c>
      <c r="AI42" s="19">
        <f t="shared" si="21"/>
        <v>1.3384209908312004</v>
      </c>
      <c r="AJ42" s="19">
        <f t="shared" si="11"/>
        <v>0</v>
      </c>
      <c r="AK42" s="19">
        <f t="shared" si="22"/>
        <v>50.546212256723379</v>
      </c>
      <c r="AL42" s="23">
        <f t="shared" si="12"/>
        <v>1074.1942122567234</v>
      </c>
      <c r="AM42" s="22">
        <f>(1/(2*LOG(3.7*($I42-0.008)/'Calculation Constants'!$B$5*1000)))^2</f>
        <v>1.4542845531075887E-2</v>
      </c>
      <c r="AN42" s="19">
        <f t="shared" si="23"/>
        <v>1.6249731396833385</v>
      </c>
      <c r="AO42" s="19">
        <f>IF($H42&gt;0,'Calculation Constants'!$B$9*Hydraulics!$K42^2/2/9.81/MAX($F$4:$F$253)*$H42,"")</f>
        <v>6.3421890311175441E-2</v>
      </c>
      <c r="AP42" s="19">
        <f t="shared" si="24"/>
        <v>1.6883950299945139</v>
      </c>
      <c r="AQ42" s="19">
        <f t="shared" si="13"/>
        <v>0</v>
      </c>
      <c r="AR42" s="19">
        <f t="shared" si="25"/>
        <v>40.746939160151783</v>
      </c>
      <c r="AS42" s="23">
        <f t="shared" si="14"/>
        <v>1064.3949391601518</v>
      </c>
    </row>
    <row r="43" spans="5:45">
      <c r="E43" s="35" t="str">
        <f t="shared" si="0"/>
        <v/>
      </c>
      <c r="F43" s="19">
        <f>'Profile data'!A43</f>
        <v>80</v>
      </c>
      <c r="G43" s="19">
        <f>VLOOKUP(F43,'Profile data'!A43:C302,IF($B$22="Botswana 1",2,3))</f>
        <v>1027.566</v>
      </c>
      <c r="H43" s="19">
        <f t="shared" si="26"/>
        <v>2</v>
      </c>
      <c r="I43" s="19">
        <v>1.9</v>
      </c>
      <c r="J43" s="36">
        <f>'Flow Rate Calculations'!$B$7</f>
        <v>4.0831050228310497</v>
      </c>
      <c r="K43" s="36">
        <f t="shared" si="15"/>
        <v>1.440102709245225</v>
      </c>
      <c r="L43" s="37">
        <f>$I43*$K43/'Calculation Constants'!$B$7</f>
        <v>2421411.6350140949</v>
      </c>
      <c r="M43" s="37">
        <f t="shared" si="1"/>
        <v>84.104000000000042</v>
      </c>
      <c r="N43" s="23">
        <f t="shared" si="16"/>
        <v>54.289088446259939</v>
      </c>
      <c r="O43" s="55">
        <f t="shared" si="2"/>
        <v>84.104000000000042</v>
      </c>
      <c r="P43" s="64">
        <f>MAX(I43*1000/'Calculation Constants'!$B$14,O43*10*I43*1000/2/('Calculation Constants'!$B$12*1000*'Calculation Constants'!$B$13))</f>
        <v>11.875</v>
      </c>
      <c r="Q43" s="66">
        <f t="shared" si="3"/>
        <v>1105894.9783427313</v>
      </c>
      <c r="R43" s="27">
        <f>(1/(2*LOG(3.7*$I43/'Calculation Constants'!$B$2*1000)))^2</f>
        <v>8.6699836115820689E-3</v>
      </c>
      <c r="S43" s="19">
        <f t="shared" si="17"/>
        <v>0.96467850809376621</v>
      </c>
      <c r="T43" s="19">
        <f>IF($H43&gt;0,'Calculation Constants'!$B$9*Hydraulics!$K43^2/2/9.81/MAX($F$4:$F$253)*$H43,"")</f>
        <v>6.3421890311175441E-2</v>
      </c>
      <c r="U43" s="19">
        <f t="shared" si="18"/>
        <v>1.0281003984049417</v>
      </c>
      <c r="V43" s="19">
        <f t="shared" si="4"/>
        <v>0</v>
      </c>
      <c r="W43" s="19">
        <f t="shared" si="5"/>
        <v>54.289088446259939</v>
      </c>
      <c r="X43" s="23">
        <f t="shared" si="6"/>
        <v>1081.85508844626</v>
      </c>
      <c r="Y43" s="22">
        <f>(1/(2*LOG(3.7*$I43/'Calculation Constants'!$B$3*1000)))^2</f>
        <v>9.7303620360708887E-3</v>
      </c>
      <c r="Z43" s="19">
        <f t="shared" si="7"/>
        <v>1.0826630767363397</v>
      </c>
      <c r="AA43" s="19">
        <f>IF($H43&gt;0,'Calculation Constants'!$B$9*Hydraulics!$K43^2/2/9.81/MAX($F$4:$F$253)*$H43,"")</f>
        <v>6.3421890311175441E-2</v>
      </c>
      <c r="AB43" s="19">
        <f t="shared" si="27"/>
        <v>1.1460849670475151</v>
      </c>
      <c r="AC43" s="19">
        <f t="shared" si="8"/>
        <v>0</v>
      </c>
      <c r="AD43" s="19">
        <f t="shared" si="20"/>
        <v>50.867535955622543</v>
      </c>
      <c r="AE43" s="23">
        <f t="shared" si="9"/>
        <v>1078.4335359556226</v>
      </c>
      <c r="AF43" s="27">
        <f>(1/(2*LOG(3.7*$I43/'Calculation Constants'!$B$4*1000)))^2</f>
        <v>1.1458969193927592E-2</v>
      </c>
      <c r="AG43" s="19">
        <f t="shared" si="10"/>
        <v>1.274999100520025</v>
      </c>
      <c r="AH43" s="19">
        <f>IF($H43&gt;0,'Calculation Constants'!$B$9*Hydraulics!$K43^2/2/9.81/MAX($F$4:$F$253)*$H43,"")</f>
        <v>6.3421890311175441E-2</v>
      </c>
      <c r="AI43" s="19">
        <f t="shared" si="21"/>
        <v>1.3384209908312004</v>
      </c>
      <c r="AJ43" s="19">
        <f t="shared" si="11"/>
        <v>0</v>
      </c>
      <c r="AK43" s="19">
        <f t="shared" si="22"/>
        <v>45.289791265892063</v>
      </c>
      <c r="AL43" s="23">
        <f t="shared" si="12"/>
        <v>1072.8557912658921</v>
      </c>
      <c r="AM43" s="22">
        <f>(1/(2*LOG(3.7*($I43-0.008)/'Calculation Constants'!$B$5*1000)))^2</f>
        <v>1.4542845531075887E-2</v>
      </c>
      <c r="AN43" s="19">
        <f t="shared" si="23"/>
        <v>1.6249731396833385</v>
      </c>
      <c r="AO43" s="19">
        <f>IF($H43&gt;0,'Calculation Constants'!$B$9*Hydraulics!$K43^2/2/9.81/MAX($F$4:$F$253)*$H43,"")</f>
        <v>6.3421890311175441E-2</v>
      </c>
      <c r="AP43" s="19">
        <f t="shared" si="24"/>
        <v>1.6883950299945139</v>
      </c>
      <c r="AQ43" s="19">
        <f t="shared" si="13"/>
        <v>0</v>
      </c>
      <c r="AR43" s="19">
        <f t="shared" si="25"/>
        <v>35.140544130157195</v>
      </c>
      <c r="AS43" s="23">
        <f t="shared" si="14"/>
        <v>1062.7065441301572</v>
      </c>
    </row>
    <row r="44" spans="5:45">
      <c r="E44" s="35" t="str">
        <f t="shared" si="0"/>
        <v/>
      </c>
      <c r="F44" s="19">
        <f>'Profile data'!A44</f>
        <v>82</v>
      </c>
      <c r="G44" s="19">
        <f>VLOOKUP(F44,'Profile data'!A44:C303,IF($B$22="Botswana 1",2,3))</f>
        <v>1032.3710000000001</v>
      </c>
      <c r="H44" s="19">
        <f t="shared" si="26"/>
        <v>2</v>
      </c>
      <c r="I44" s="19">
        <v>1.9</v>
      </c>
      <c r="J44" s="36">
        <f>'Flow Rate Calculations'!$B$7</f>
        <v>4.0831050228310497</v>
      </c>
      <c r="K44" s="36">
        <f t="shared" si="15"/>
        <v>1.440102709245225</v>
      </c>
      <c r="L44" s="37">
        <f>$I44*$K44/'Calculation Constants'!$B$7</f>
        <v>2421411.6350140949</v>
      </c>
      <c r="M44" s="37">
        <f t="shared" si="1"/>
        <v>79.298999999999978</v>
      </c>
      <c r="N44" s="23">
        <f t="shared" si="16"/>
        <v>48.455988047855044</v>
      </c>
      <c r="O44" s="55">
        <f t="shared" si="2"/>
        <v>79.298999999999978</v>
      </c>
      <c r="P44" s="64">
        <f>MAX(I44*1000/'Calculation Constants'!$B$14,O44*10*I44*1000/2/('Calculation Constants'!$B$12*1000*'Calculation Constants'!$B$13))</f>
        <v>11.875</v>
      </c>
      <c r="Q44" s="66">
        <f t="shared" si="3"/>
        <v>1105894.9783427313</v>
      </c>
      <c r="R44" s="27">
        <f>(1/(2*LOG(3.7*$I44/'Calculation Constants'!$B$2*1000)))^2</f>
        <v>8.6699836115820689E-3</v>
      </c>
      <c r="S44" s="19">
        <f t="shared" si="17"/>
        <v>0.96467850809376621</v>
      </c>
      <c r="T44" s="19">
        <f>IF($H44&gt;0,'Calculation Constants'!$B$9*Hydraulics!$K44^2/2/9.81/MAX($F$4:$F$253)*$H44,"")</f>
        <v>6.3421890311175441E-2</v>
      </c>
      <c r="U44" s="19">
        <f t="shared" si="18"/>
        <v>1.0281003984049417</v>
      </c>
      <c r="V44" s="19">
        <f t="shared" si="4"/>
        <v>0</v>
      </c>
      <c r="W44" s="19">
        <f t="shared" si="5"/>
        <v>48.455988047855044</v>
      </c>
      <c r="X44" s="23">
        <f t="shared" si="6"/>
        <v>1080.8269880478551</v>
      </c>
      <c r="Y44" s="22">
        <f>(1/(2*LOG(3.7*$I44/'Calculation Constants'!$B$3*1000)))^2</f>
        <v>9.7303620360708887E-3</v>
      </c>
      <c r="Z44" s="19">
        <f t="shared" si="7"/>
        <v>1.0826630767363397</v>
      </c>
      <c r="AA44" s="19">
        <f>IF($H44&gt;0,'Calculation Constants'!$B$9*Hydraulics!$K44^2/2/9.81/MAX($F$4:$F$253)*$H44,"")</f>
        <v>6.3421890311175441E-2</v>
      </c>
      <c r="AB44" s="19">
        <f t="shared" si="27"/>
        <v>1.1460849670475151</v>
      </c>
      <c r="AC44" s="19">
        <f t="shared" si="8"/>
        <v>0</v>
      </c>
      <c r="AD44" s="19">
        <f t="shared" si="20"/>
        <v>44.916450988574979</v>
      </c>
      <c r="AE44" s="23">
        <f t="shared" si="9"/>
        <v>1077.2874509885751</v>
      </c>
      <c r="AF44" s="27">
        <f>(1/(2*LOG(3.7*$I44/'Calculation Constants'!$B$4*1000)))^2</f>
        <v>1.1458969193927592E-2</v>
      </c>
      <c r="AG44" s="19">
        <f t="shared" si="10"/>
        <v>1.274999100520025</v>
      </c>
      <c r="AH44" s="19">
        <f>IF($H44&gt;0,'Calculation Constants'!$B$9*Hydraulics!$K44^2/2/9.81/MAX($F$4:$F$253)*$H44,"")</f>
        <v>6.3421890311175441E-2</v>
      </c>
      <c r="AI44" s="19">
        <f t="shared" si="21"/>
        <v>1.3384209908312004</v>
      </c>
      <c r="AJ44" s="19">
        <f t="shared" si="11"/>
        <v>0</v>
      </c>
      <c r="AK44" s="19">
        <f t="shared" si="22"/>
        <v>39.14637027506069</v>
      </c>
      <c r="AL44" s="23">
        <f t="shared" si="12"/>
        <v>1071.5173702750608</v>
      </c>
      <c r="AM44" s="22">
        <f>(1/(2*LOG(3.7*($I44-0.008)/'Calculation Constants'!$B$5*1000)))^2</f>
        <v>1.4542845531075887E-2</v>
      </c>
      <c r="AN44" s="19">
        <f t="shared" si="23"/>
        <v>1.6249731396833385</v>
      </c>
      <c r="AO44" s="19">
        <f>IF($H44&gt;0,'Calculation Constants'!$B$9*Hydraulics!$K44^2/2/9.81/MAX($F$4:$F$253)*$H44,"")</f>
        <v>6.3421890311175441E-2</v>
      </c>
      <c r="AP44" s="19">
        <f t="shared" si="24"/>
        <v>1.6883950299945139</v>
      </c>
      <c r="AQ44" s="19">
        <f t="shared" si="13"/>
        <v>0</v>
      </c>
      <c r="AR44" s="19">
        <f t="shared" si="25"/>
        <v>28.647149100162551</v>
      </c>
      <c r="AS44" s="23">
        <f t="shared" si="14"/>
        <v>1061.0181491001626</v>
      </c>
    </row>
    <row r="45" spans="5:45">
      <c r="E45" s="35" t="str">
        <f t="shared" si="0"/>
        <v/>
      </c>
      <c r="F45" s="19">
        <f>'Profile data'!A45</f>
        <v>84</v>
      </c>
      <c r="G45" s="19">
        <f>VLOOKUP(F45,'Profile data'!A45:C304,IF($B$22="Botswana 1",2,3))</f>
        <v>1034.9829999999999</v>
      </c>
      <c r="H45" s="19">
        <f t="shared" si="26"/>
        <v>2</v>
      </c>
      <c r="I45" s="19">
        <v>1.9</v>
      </c>
      <c r="J45" s="36">
        <f>'Flow Rate Calculations'!$B$7</f>
        <v>4.0831050228310497</v>
      </c>
      <c r="K45" s="36">
        <f t="shared" si="15"/>
        <v>1.440102709245225</v>
      </c>
      <c r="L45" s="37">
        <f>$I45*$K45/'Calculation Constants'!$B$7</f>
        <v>2421411.6350140949</v>
      </c>
      <c r="M45" s="37">
        <f t="shared" si="1"/>
        <v>76.687000000000126</v>
      </c>
      <c r="N45" s="23">
        <f t="shared" si="16"/>
        <v>44.81588764945036</v>
      </c>
      <c r="O45" s="55">
        <f t="shared" si="2"/>
        <v>76.687000000000126</v>
      </c>
      <c r="P45" s="64">
        <f>MAX(I45*1000/'Calculation Constants'!$B$14,O45*10*I45*1000/2/('Calculation Constants'!$B$12*1000*'Calculation Constants'!$B$13))</f>
        <v>11.875</v>
      </c>
      <c r="Q45" s="66">
        <f t="shared" si="3"/>
        <v>1105894.9783427313</v>
      </c>
      <c r="R45" s="27">
        <f>(1/(2*LOG(3.7*$I45/'Calculation Constants'!$B$2*1000)))^2</f>
        <v>8.6699836115820689E-3</v>
      </c>
      <c r="S45" s="19">
        <f t="shared" si="17"/>
        <v>0.96467850809376621</v>
      </c>
      <c r="T45" s="19">
        <f>IF($H45&gt;0,'Calculation Constants'!$B$9*Hydraulics!$K45^2/2/9.81/MAX($F$4:$F$253)*$H45,"")</f>
        <v>6.3421890311175441E-2</v>
      </c>
      <c r="U45" s="19">
        <f t="shared" si="18"/>
        <v>1.0281003984049417</v>
      </c>
      <c r="V45" s="19">
        <f t="shared" si="4"/>
        <v>0</v>
      </c>
      <c r="W45" s="19">
        <f t="shared" si="5"/>
        <v>44.81588764945036</v>
      </c>
      <c r="X45" s="23">
        <f t="shared" si="6"/>
        <v>1079.7988876494503</v>
      </c>
      <c r="Y45" s="22">
        <f>(1/(2*LOG(3.7*$I45/'Calculation Constants'!$B$3*1000)))^2</f>
        <v>9.7303620360708887E-3</v>
      </c>
      <c r="Z45" s="19">
        <f t="shared" si="7"/>
        <v>1.0826630767363397</v>
      </c>
      <c r="AA45" s="19">
        <f>IF($H45&gt;0,'Calculation Constants'!$B$9*Hydraulics!$K45^2/2/9.81/MAX($F$4:$F$253)*$H45,"")</f>
        <v>6.3421890311175441E-2</v>
      </c>
      <c r="AB45" s="19">
        <f t="shared" si="27"/>
        <v>1.1460849670475151</v>
      </c>
      <c r="AC45" s="19">
        <f t="shared" si="8"/>
        <v>0</v>
      </c>
      <c r="AD45" s="19">
        <f t="shared" si="20"/>
        <v>41.158366021527627</v>
      </c>
      <c r="AE45" s="23">
        <f t="shared" si="9"/>
        <v>1076.1413660215276</v>
      </c>
      <c r="AF45" s="27">
        <f>(1/(2*LOG(3.7*$I45/'Calculation Constants'!$B$4*1000)))^2</f>
        <v>1.1458969193927592E-2</v>
      </c>
      <c r="AG45" s="19">
        <f t="shared" si="10"/>
        <v>1.274999100520025</v>
      </c>
      <c r="AH45" s="19">
        <f>IF($H45&gt;0,'Calculation Constants'!$B$9*Hydraulics!$K45^2/2/9.81/MAX($F$4:$F$253)*$H45,"")</f>
        <v>6.3421890311175441E-2</v>
      </c>
      <c r="AI45" s="19">
        <f t="shared" si="21"/>
        <v>1.3384209908312004</v>
      </c>
      <c r="AJ45" s="19">
        <f t="shared" si="11"/>
        <v>0</v>
      </c>
      <c r="AK45" s="19">
        <f t="shared" si="22"/>
        <v>35.195949284229528</v>
      </c>
      <c r="AL45" s="23">
        <f t="shared" si="12"/>
        <v>1070.1789492842295</v>
      </c>
      <c r="AM45" s="22">
        <f>(1/(2*LOG(3.7*($I45-0.008)/'Calculation Constants'!$B$5*1000)))^2</f>
        <v>1.4542845531075887E-2</v>
      </c>
      <c r="AN45" s="19">
        <f t="shared" si="23"/>
        <v>1.6249731396833385</v>
      </c>
      <c r="AO45" s="19">
        <f>IF($H45&gt;0,'Calculation Constants'!$B$9*Hydraulics!$K45^2/2/9.81/MAX($F$4:$F$253)*$H45,"")</f>
        <v>6.3421890311175441E-2</v>
      </c>
      <c r="AP45" s="19">
        <f t="shared" si="24"/>
        <v>1.6883950299945139</v>
      </c>
      <c r="AQ45" s="19">
        <f t="shared" si="13"/>
        <v>0</v>
      </c>
      <c r="AR45" s="19">
        <f t="shared" si="25"/>
        <v>24.346754070168117</v>
      </c>
      <c r="AS45" s="23">
        <f t="shared" si="14"/>
        <v>1059.3297540701681</v>
      </c>
    </row>
    <row r="46" spans="5:45">
      <c r="E46" s="35" t="str">
        <f t="shared" si="0"/>
        <v/>
      </c>
      <c r="F46" s="19">
        <f>'Profile data'!A46</f>
        <v>86</v>
      </c>
      <c r="G46" s="19">
        <f>VLOOKUP(F46,'Profile data'!A46:C305,IF($B$22="Botswana 1",2,3))</f>
        <v>1033.213</v>
      </c>
      <c r="H46" s="19">
        <f t="shared" si="26"/>
        <v>2</v>
      </c>
      <c r="I46" s="19">
        <v>1.9</v>
      </c>
      <c r="J46" s="36">
        <f>'Flow Rate Calculations'!$B$7</f>
        <v>4.0831050228310497</v>
      </c>
      <c r="K46" s="36">
        <f t="shared" si="15"/>
        <v>1.440102709245225</v>
      </c>
      <c r="L46" s="37">
        <f>$I46*$K46/'Calculation Constants'!$B$7</f>
        <v>2421411.6350140949</v>
      </c>
      <c r="M46" s="37">
        <f t="shared" si="1"/>
        <v>78.457000000000107</v>
      </c>
      <c r="N46" s="23">
        <f t="shared" si="16"/>
        <v>45.557787251045511</v>
      </c>
      <c r="O46" s="55">
        <f t="shared" si="2"/>
        <v>78.457000000000107</v>
      </c>
      <c r="P46" s="64">
        <f>MAX(I46*1000/'Calculation Constants'!$B$14,O46*10*I46*1000/2/('Calculation Constants'!$B$12*1000*'Calculation Constants'!$B$13))</f>
        <v>11.875</v>
      </c>
      <c r="Q46" s="66">
        <f t="shared" si="3"/>
        <v>1105894.9783427313</v>
      </c>
      <c r="R46" s="27">
        <f>(1/(2*LOG(3.7*$I46/'Calculation Constants'!$B$2*1000)))^2</f>
        <v>8.6699836115820689E-3</v>
      </c>
      <c r="S46" s="19">
        <f t="shared" si="17"/>
        <v>0.96467850809376621</v>
      </c>
      <c r="T46" s="19">
        <f>IF($H46&gt;0,'Calculation Constants'!$B$9*Hydraulics!$K46^2/2/9.81/MAX($F$4:$F$253)*$H46,"")</f>
        <v>6.3421890311175441E-2</v>
      </c>
      <c r="U46" s="19">
        <f t="shared" si="18"/>
        <v>1.0281003984049417</v>
      </c>
      <c r="V46" s="19">
        <f t="shared" si="4"/>
        <v>0</v>
      </c>
      <c r="W46" s="19">
        <f t="shared" si="5"/>
        <v>45.557787251045511</v>
      </c>
      <c r="X46" s="23">
        <f t="shared" si="6"/>
        <v>1078.7707872510455</v>
      </c>
      <c r="Y46" s="22">
        <f>(1/(2*LOG(3.7*$I46/'Calculation Constants'!$B$3*1000)))^2</f>
        <v>9.7303620360708887E-3</v>
      </c>
      <c r="Z46" s="19">
        <f t="shared" si="7"/>
        <v>1.0826630767363397</v>
      </c>
      <c r="AA46" s="19">
        <f>IF($H46&gt;0,'Calculation Constants'!$B$9*Hydraulics!$K46^2/2/9.81/MAX($F$4:$F$253)*$H46,"")</f>
        <v>6.3421890311175441E-2</v>
      </c>
      <c r="AB46" s="19">
        <f t="shared" si="27"/>
        <v>1.1460849670475151</v>
      </c>
      <c r="AC46" s="19">
        <f t="shared" si="8"/>
        <v>0</v>
      </c>
      <c r="AD46" s="19">
        <f t="shared" si="20"/>
        <v>41.782281054480109</v>
      </c>
      <c r="AE46" s="23">
        <f t="shared" si="9"/>
        <v>1074.9952810544801</v>
      </c>
      <c r="AF46" s="27">
        <f>(1/(2*LOG(3.7*$I46/'Calculation Constants'!$B$4*1000)))^2</f>
        <v>1.1458969193927592E-2</v>
      </c>
      <c r="AG46" s="19">
        <f t="shared" si="10"/>
        <v>1.274999100520025</v>
      </c>
      <c r="AH46" s="19">
        <f>IF($H46&gt;0,'Calculation Constants'!$B$9*Hydraulics!$K46^2/2/9.81/MAX($F$4:$F$253)*$H46,"")</f>
        <v>6.3421890311175441E-2</v>
      </c>
      <c r="AI46" s="19">
        <f t="shared" si="21"/>
        <v>1.3384209908312004</v>
      </c>
      <c r="AJ46" s="19">
        <f t="shared" si="11"/>
        <v>0</v>
      </c>
      <c r="AK46" s="19">
        <f t="shared" si="22"/>
        <v>35.6275282933982</v>
      </c>
      <c r="AL46" s="23">
        <f t="shared" si="12"/>
        <v>1068.8405282933982</v>
      </c>
      <c r="AM46" s="22">
        <f>(1/(2*LOG(3.7*($I46-0.008)/'Calculation Constants'!$B$5*1000)))^2</f>
        <v>1.4542845531075887E-2</v>
      </c>
      <c r="AN46" s="19">
        <f t="shared" si="23"/>
        <v>1.6249731396833385</v>
      </c>
      <c r="AO46" s="19">
        <f>IF($H46&gt;0,'Calculation Constants'!$B$9*Hydraulics!$K46^2/2/9.81/MAX($F$4:$F$253)*$H46,"")</f>
        <v>6.3421890311175441E-2</v>
      </c>
      <c r="AP46" s="19">
        <f t="shared" si="24"/>
        <v>1.6883950299945139</v>
      </c>
      <c r="AQ46" s="19">
        <f t="shared" si="13"/>
        <v>0</v>
      </c>
      <c r="AR46" s="19">
        <f t="shared" si="25"/>
        <v>24.428359040173518</v>
      </c>
      <c r="AS46" s="23">
        <f t="shared" si="14"/>
        <v>1057.6413590401735</v>
      </c>
    </row>
    <row r="47" spans="5:45">
      <c r="E47" s="35" t="str">
        <f t="shared" si="0"/>
        <v/>
      </c>
      <c r="F47" s="19">
        <f>'Profile data'!A47</f>
        <v>88</v>
      </c>
      <c r="G47" s="19">
        <f>VLOOKUP(F47,'Profile data'!A47:C306,IF($B$22="Botswana 1",2,3))</f>
        <v>1031.1880000000001</v>
      </c>
      <c r="H47" s="19">
        <f t="shared" si="26"/>
        <v>2</v>
      </c>
      <c r="I47" s="19">
        <v>1.9</v>
      </c>
      <c r="J47" s="36">
        <f>'Flow Rate Calculations'!$B$7</f>
        <v>4.0831050228310497</v>
      </c>
      <c r="K47" s="36">
        <f t="shared" si="15"/>
        <v>1.440102709245225</v>
      </c>
      <c r="L47" s="37">
        <f>$I47*$K47/'Calculation Constants'!$B$7</f>
        <v>2421411.6350140949</v>
      </c>
      <c r="M47" s="37">
        <f t="shared" si="1"/>
        <v>80.481999999999971</v>
      </c>
      <c r="N47" s="23">
        <f t="shared" si="16"/>
        <v>46.554686852640543</v>
      </c>
      <c r="O47" s="55">
        <f t="shared" si="2"/>
        <v>80.481999999999971</v>
      </c>
      <c r="P47" s="64">
        <f>MAX(I47*1000/'Calculation Constants'!$B$14,O47*10*I47*1000/2/('Calculation Constants'!$B$12*1000*'Calculation Constants'!$B$13))</f>
        <v>11.875</v>
      </c>
      <c r="Q47" s="66">
        <f t="shared" si="3"/>
        <v>1105894.9783427313</v>
      </c>
      <c r="R47" s="27">
        <f>(1/(2*LOG(3.7*$I47/'Calculation Constants'!$B$2*1000)))^2</f>
        <v>8.6699836115820689E-3</v>
      </c>
      <c r="S47" s="19">
        <f t="shared" si="17"/>
        <v>0.96467850809376621</v>
      </c>
      <c r="T47" s="19">
        <f>IF($H47&gt;0,'Calculation Constants'!$B$9*Hydraulics!$K47^2/2/9.81/MAX($F$4:$F$253)*$H47,"")</f>
        <v>6.3421890311175441E-2</v>
      </c>
      <c r="U47" s="19">
        <f t="shared" si="18"/>
        <v>1.0281003984049417</v>
      </c>
      <c r="V47" s="19">
        <f t="shared" si="4"/>
        <v>0</v>
      </c>
      <c r="W47" s="19">
        <f t="shared" si="5"/>
        <v>46.554686852640543</v>
      </c>
      <c r="X47" s="23">
        <f t="shared" si="6"/>
        <v>1077.7426868526406</v>
      </c>
      <c r="Y47" s="22">
        <f>(1/(2*LOG(3.7*$I47/'Calculation Constants'!$B$3*1000)))^2</f>
        <v>9.7303620360708887E-3</v>
      </c>
      <c r="Z47" s="19">
        <f t="shared" si="7"/>
        <v>1.0826630767363397</v>
      </c>
      <c r="AA47" s="19">
        <f>IF($H47&gt;0,'Calculation Constants'!$B$9*Hydraulics!$K47^2/2/9.81/MAX($F$4:$F$253)*$H47,"")</f>
        <v>6.3421890311175441E-2</v>
      </c>
      <c r="AB47" s="19">
        <f t="shared" si="27"/>
        <v>1.1460849670475151</v>
      </c>
      <c r="AC47" s="19">
        <f t="shared" si="8"/>
        <v>0</v>
      </c>
      <c r="AD47" s="19">
        <f t="shared" si="20"/>
        <v>42.661196087432472</v>
      </c>
      <c r="AE47" s="23">
        <f t="shared" si="9"/>
        <v>1073.8491960874326</v>
      </c>
      <c r="AF47" s="27">
        <f>(1/(2*LOG(3.7*$I47/'Calculation Constants'!$B$4*1000)))^2</f>
        <v>1.1458969193927592E-2</v>
      </c>
      <c r="AG47" s="19">
        <f t="shared" si="10"/>
        <v>1.274999100520025</v>
      </c>
      <c r="AH47" s="19">
        <f>IF($H47&gt;0,'Calculation Constants'!$B$9*Hydraulics!$K47^2/2/9.81/MAX($F$4:$F$253)*$H47,"")</f>
        <v>6.3421890311175441E-2</v>
      </c>
      <c r="AI47" s="19">
        <f t="shared" si="21"/>
        <v>1.3384209908312004</v>
      </c>
      <c r="AJ47" s="19">
        <f t="shared" si="11"/>
        <v>0</v>
      </c>
      <c r="AK47" s="19">
        <f t="shared" si="22"/>
        <v>36.314107302566754</v>
      </c>
      <c r="AL47" s="23">
        <f t="shared" si="12"/>
        <v>1067.5021073025669</v>
      </c>
      <c r="AM47" s="22">
        <f>(1/(2*LOG(3.7*($I47-0.008)/'Calculation Constants'!$B$5*1000)))^2</f>
        <v>1.4542845531075887E-2</v>
      </c>
      <c r="AN47" s="19">
        <f t="shared" si="23"/>
        <v>1.6249731396833385</v>
      </c>
      <c r="AO47" s="19">
        <f>IF($H47&gt;0,'Calculation Constants'!$B$9*Hydraulics!$K47^2/2/9.81/MAX($F$4:$F$253)*$H47,"")</f>
        <v>6.3421890311175441E-2</v>
      </c>
      <c r="AP47" s="19">
        <f t="shared" si="24"/>
        <v>1.6883950299945139</v>
      </c>
      <c r="AQ47" s="19">
        <f t="shared" si="13"/>
        <v>0</v>
      </c>
      <c r="AR47" s="19">
        <f t="shared" si="25"/>
        <v>24.764964010178801</v>
      </c>
      <c r="AS47" s="23">
        <f t="shared" si="14"/>
        <v>1055.9529640101789</v>
      </c>
    </row>
    <row r="48" spans="5:45">
      <c r="E48" s="35" t="str">
        <f t="shared" si="0"/>
        <v/>
      </c>
      <c r="F48" s="19">
        <f>'Profile data'!A48</f>
        <v>90</v>
      </c>
      <c r="G48" s="19">
        <f>VLOOKUP(F48,'Profile data'!A48:C307,IF($B$22="Botswana 1",2,3))</f>
        <v>1029.08</v>
      </c>
      <c r="H48" s="19">
        <f t="shared" si="26"/>
        <v>2</v>
      </c>
      <c r="I48" s="19">
        <v>1.9</v>
      </c>
      <c r="J48" s="36">
        <f>'Flow Rate Calculations'!$B$7</f>
        <v>4.0831050228310497</v>
      </c>
      <c r="K48" s="36">
        <f t="shared" si="15"/>
        <v>1.440102709245225</v>
      </c>
      <c r="L48" s="37">
        <f>$I48*$K48/'Calculation Constants'!$B$7</f>
        <v>2421411.6350140949</v>
      </c>
      <c r="M48" s="37">
        <f t="shared" si="1"/>
        <v>82.590000000000146</v>
      </c>
      <c r="N48" s="23">
        <f t="shared" si="16"/>
        <v>47.634586454235887</v>
      </c>
      <c r="O48" s="55">
        <f t="shared" si="2"/>
        <v>82.590000000000146</v>
      </c>
      <c r="P48" s="64">
        <f>MAX(I48*1000/'Calculation Constants'!$B$14,O48*10*I48*1000/2/('Calculation Constants'!$B$12*1000*'Calculation Constants'!$B$13))</f>
        <v>11.875</v>
      </c>
      <c r="Q48" s="66">
        <f t="shared" si="3"/>
        <v>1105894.9783427313</v>
      </c>
      <c r="R48" s="27">
        <f>(1/(2*LOG(3.7*$I48/'Calculation Constants'!$B$2*1000)))^2</f>
        <v>8.6699836115820689E-3</v>
      </c>
      <c r="S48" s="19">
        <f t="shared" si="17"/>
        <v>0.96467850809376621</v>
      </c>
      <c r="T48" s="19">
        <f>IF($H48&gt;0,'Calculation Constants'!$B$9*Hydraulics!$K48^2/2/9.81/MAX($F$4:$F$253)*$H48,"")</f>
        <v>6.3421890311175441E-2</v>
      </c>
      <c r="U48" s="19">
        <f t="shared" si="18"/>
        <v>1.0281003984049417</v>
      </c>
      <c r="V48" s="19">
        <f t="shared" si="4"/>
        <v>0</v>
      </c>
      <c r="W48" s="19">
        <f t="shared" si="5"/>
        <v>47.634586454235887</v>
      </c>
      <c r="X48" s="23">
        <f t="shared" si="6"/>
        <v>1076.7145864542358</v>
      </c>
      <c r="Y48" s="22">
        <f>(1/(2*LOG(3.7*$I48/'Calculation Constants'!$B$3*1000)))^2</f>
        <v>9.7303620360708887E-3</v>
      </c>
      <c r="Z48" s="19">
        <f t="shared" si="7"/>
        <v>1.0826630767363397</v>
      </c>
      <c r="AA48" s="19">
        <f>IF($H48&gt;0,'Calculation Constants'!$B$9*Hydraulics!$K48^2/2/9.81/MAX($F$4:$F$253)*$H48,"")</f>
        <v>6.3421890311175441E-2</v>
      </c>
      <c r="AB48" s="19">
        <f t="shared" si="27"/>
        <v>1.1460849670475151</v>
      </c>
      <c r="AC48" s="19">
        <f t="shared" si="8"/>
        <v>0</v>
      </c>
      <c r="AD48" s="19">
        <f t="shared" si="20"/>
        <v>43.623111120385147</v>
      </c>
      <c r="AE48" s="23">
        <f t="shared" si="9"/>
        <v>1072.7031111203851</v>
      </c>
      <c r="AF48" s="27">
        <f>(1/(2*LOG(3.7*$I48/'Calculation Constants'!$B$4*1000)))^2</f>
        <v>1.1458969193927592E-2</v>
      </c>
      <c r="AG48" s="19">
        <f t="shared" si="10"/>
        <v>1.274999100520025</v>
      </c>
      <c r="AH48" s="19">
        <f>IF($H48&gt;0,'Calculation Constants'!$B$9*Hydraulics!$K48^2/2/9.81/MAX($F$4:$F$253)*$H48,"")</f>
        <v>6.3421890311175441E-2</v>
      </c>
      <c r="AI48" s="19">
        <f t="shared" si="21"/>
        <v>1.3384209908312004</v>
      </c>
      <c r="AJ48" s="19">
        <f t="shared" si="11"/>
        <v>0</v>
      </c>
      <c r="AK48" s="19">
        <f t="shared" si="22"/>
        <v>37.083686311735619</v>
      </c>
      <c r="AL48" s="23">
        <f t="shared" si="12"/>
        <v>1066.1636863117355</v>
      </c>
      <c r="AM48" s="22">
        <f>(1/(2*LOG(3.7*($I48-0.008)/'Calculation Constants'!$B$5*1000)))^2</f>
        <v>1.4542845531075887E-2</v>
      </c>
      <c r="AN48" s="19">
        <f t="shared" si="23"/>
        <v>1.6249731396833385</v>
      </c>
      <c r="AO48" s="19">
        <f>IF($H48&gt;0,'Calculation Constants'!$B$9*Hydraulics!$K48^2/2/9.81/MAX($F$4:$F$253)*$H48,"")</f>
        <v>6.3421890311175441E-2</v>
      </c>
      <c r="AP48" s="19">
        <f t="shared" si="24"/>
        <v>1.6883950299945139</v>
      </c>
      <c r="AQ48" s="19">
        <f t="shared" si="13"/>
        <v>0</v>
      </c>
      <c r="AR48" s="19">
        <f t="shared" si="25"/>
        <v>25.184568980184395</v>
      </c>
      <c r="AS48" s="23">
        <f t="shared" si="14"/>
        <v>1054.2645689801843</v>
      </c>
    </row>
    <row r="49" spans="5:45">
      <c r="E49" s="35" t="str">
        <f t="shared" si="0"/>
        <v/>
      </c>
      <c r="F49" s="19">
        <f>'Profile data'!A49</f>
        <v>92</v>
      </c>
      <c r="G49" s="19">
        <f>VLOOKUP(F49,'Profile data'!A49:C308,IF($B$22="Botswana 1",2,3))</f>
        <v>1026.3219999999999</v>
      </c>
      <c r="H49" s="19">
        <f t="shared" si="26"/>
        <v>2</v>
      </c>
      <c r="I49" s="19">
        <v>1.9</v>
      </c>
      <c r="J49" s="36">
        <f>'Flow Rate Calculations'!$B$7</f>
        <v>4.0831050228310497</v>
      </c>
      <c r="K49" s="36">
        <f t="shared" si="15"/>
        <v>1.440102709245225</v>
      </c>
      <c r="L49" s="37">
        <f>$I49*$K49/'Calculation Constants'!$B$7</f>
        <v>2421411.6350140949</v>
      </c>
      <c r="M49" s="37">
        <f t="shared" si="1"/>
        <v>85.348000000000184</v>
      </c>
      <c r="N49" s="23">
        <f t="shared" si="16"/>
        <v>49.364486055831094</v>
      </c>
      <c r="O49" s="55">
        <f t="shared" si="2"/>
        <v>85.348000000000184</v>
      </c>
      <c r="P49" s="64">
        <f>MAX(I49*1000/'Calculation Constants'!$B$14,O49*10*I49*1000/2/('Calculation Constants'!$B$12*1000*'Calculation Constants'!$B$13))</f>
        <v>11.875</v>
      </c>
      <c r="Q49" s="66">
        <f t="shared" si="3"/>
        <v>1105894.9783427313</v>
      </c>
      <c r="R49" s="27">
        <f>(1/(2*LOG(3.7*$I49/'Calculation Constants'!$B$2*1000)))^2</f>
        <v>8.6699836115820689E-3</v>
      </c>
      <c r="S49" s="19">
        <f t="shared" si="17"/>
        <v>0.96467850809376621</v>
      </c>
      <c r="T49" s="19">
        <f>IF($H49&gt;0,'Calculation Constants'!$B$9*Hydraulics!$K49^2/2/9.81/MAX($F$4:$F$253)*$H49,"")</f>
        <v>6.3421890311175441E-2</v>
      </c>
      <c r="U49" s="19">
        <f t="shared" si="18"/>
        <v>1.0281003984049417</v>
      </c>
      <c r="V49" s="19">
        <f t="shared" si="4"/>
        <v>0</v>
      </c>
      <c r="W49" s="19">
        <f t="shared" si="5"/>
        <v>49.364486055831094</v>
      </c>
      <c r="X49" s="23">
        <f t="shared" si="6"/>
        <v>1075.686486055831</v>
      </c>
      <c r="Y49" s="22">
        <f>(1/(2*LOG(3.7*$I49/'Calculation Constants'!$B$3*1000)))^2</f>
        <v>9.7303620360708887E-3</v>
      </c>
      <c r="Z49" s="19">
        <f t="shared" si="7"/>
        <v>1.0826630767363397</v>
      </c>
      <c r="AA49" s="19">
        <f>IF($H49&gt;0,'Calculation Constants'!$B$9*Hydraulics!$K49^2/2/9.81/MAX($F$4:$F$253)*$H49,"")</f>
        <v>6.3421890311175441E-2</v>
      </c>
      <c r="AB49" s="19">
        <f t="shared" si="27"/>
        <v>1.1460849670475151</v>
      </c>
      <c r="AC49" s="19">
        <f t="shared" si="8"/>
        <v>0</v>
      </c>
      <c r="AD49" s="19">
        <f t="shared" si="20"/>
        <v>45.235026153337685</v>
      </c>
      <c r="AE49" s="23">
        <f t="shared" si="9"/>
        <v>1071.5570261533376</v>
      </c>
      <c r="AF49" s="27">
        <f>(1/(2*LOG(3.7*$I49/'Calculation Constants'!$B$4*1000)))^2</f>
        <v>1.1458969193927592E-2</v>
      </c>
      <c r="AG49" s="19">
        <f t="shared" si="10"/>
        <v>1.274999100520025</v>
      </c>
      <c r="AH49" s="19">
        <f>IF($H49&gt;0,'Calculation Constants'!$B$9*Hydraulics!$K49^2/2/9.81/MAX($F$4:$F$253)*$H49,"")</f>
        <v>6.3421890311175441E-2</v>
      </c>
      <c r="AI49" s="19">
        <f t="shared" si="21"/>
        <v>1.3384209908312004</v>
      </c>
      <c r="AJ49" s="19">
        <f t="shared" si="11"/>
        <v>0</v>
      </c>
      <c r="AK49" s="19">
        <f t="shared" si="22"/>
        <v>38.503265320904347</v>
      </c>
      <c r="AL49" s="23">
        <f t="shared" si="12"/>
        <v>1064.8252653209042</v>
      </c>
      <c r="AM49" s="22">
        <f>(1/(2*LOG(3.7*($I49-0.008)/'Calculation Constants'!$B$5*1000)))^2</f>
        <v>1.4542845531075887E-2</v>
      </c>
      <c r="AN49" s="19">
        <f t="shared" si="23"/>
        <v>1.6249731396833385</v>
      </c>
      <c r="AO49" s="19">
        <f>IF($H49&gt;0,'Calculation Constants'!$B$9*Hydraulics!$K49^2/2/9.81/MAX($F$4:$F$253)*$H49,"")</f>
        <v>6.3421890311175441E-2</v>
      </c>
      <c r="AP49" s="19">
        <f t="shared" si="24"/>
        <v>1.6883950299945139</v>
      </c>
      <c r="AQ49" s="19">
        <f t="shared" si="13"/>
        <v>0</v>
      </c>
      <c r="AR49" s="19">
        <f t="shared" si="25"/>
        <v>26.254173950189852</v>
      </c>
      <c r="AS49" s="23">
        <f t="shared" si="14"/>
        <v>1052.5761739501897</v>
      </c>
    </row>
    <row r="50" spans="5:45">
      <c r="E50" s="35" t="str">
        <f t="shared" si="0"/>
        <v/>
      </c>
      <c r="F50" s="19">
        <f>'Profile data'!A50</f>
        <v>94</v>
      </c>
      <c r="G50" s="19">
        <f>VLOOKUP(F50,'Profile data'!A50:C309,IF($B$22="Botswana 1",2,3))</f>
        <v>1023.207</v>
      </c>
      <c r="H50" s="19">
        <f t="shared" si="26"/>
        <v>2</v>
      </c>
      <c r="I50" s="19">
        <v>1.9</v>
      </c>
      <c r="J50" s="36">
        <f>'Flow Rate Calculations'!$B$7</f>
        <v>4.0831050228310497</v>
      </c>
      <c r="K50" s="36">
        <f t="shared" si="15"/>
        <v>1.440102709245225</v>
      </c>
      <c r="L50" s="37">
        <f>$I50*$K50/'Calculation Constants'!$B$7</f>
        <v>2421411.6350140949</v>
      </c>
      <c r="M50" s="37">
        <f t="shared" si="1"/>
        <v>88.463000000000079</v>
      </c>
      <c r="N50" s="23">
        <f t="shared" si="16"/>
        <v>51.451385657426158</v>
      </c>
      <c r="O50" s="55">
        <f t="shared" si="2"/>
        <v>88.463000000000079</v>
      </c>
      <c r="P50" s="64">
        <f>MAX(I50*1000/'Calculation Constants'!$B$14,O50*10*I50*1000/2/('Calculation Constants'!$B$12*1000*'Calculation Constants'!$B$13))</f>
        <v>11.875</v>
      </c>
      <c r="Q50" s="66">
        <f t="shared" si="3"/>
        <v>1105894.9783427313</v>
      </c>
      <c r="R50" s="27">
        <f>(1/(2*LOG(3.7*$I50/'Calculation Constants'!$B$2*1000)))^2</f>
        <v>8.6699836115820689E-3</v>
      </c>
      <c r="S50" s="19">
        <f t="shared" si="17"/>
        <v>0.96467850809376621</v>
      </c>
      <c r="T50" s="19">
        <f>IF($H50&gt;0,'Calculation Constants'!$B$9*Hydraulics!$K50^2/2/9.81/MAX($F$4:$F$253)*$H50,"")</f>
        <v>6.3421890311175441E-2</v>
      </c>
      <c r="U50" s="19">
        <f t="shared" si="18"/>
        <v>1.0281003984049417</v>
      </c>
      <c r="V50" s="19">
        <f t="shared" si="4"/>
        <v>0</v>
      </c>
      <c r="W50" s="19">
        <f t="shared" si="5"/>
        <v>51.451385657426158</v>
      </c>
      <c r="X50" s="23">
        <f t="shared" si="6"/>
        <v>1074.6583856574262</v>
      </c>
      <c r="Y50" s="22">
        <f>(1/(2*LOG(3.7*$I50/'Calculation Constants'!$B$3*1000)))^2</f>
        <v>9.7303620360708887E-3</v>
      </c>
      <c r="Z50" s="19">
        <f t="shared" si="7"/>
        <v>1.0826630767363397</v>
      </c>
      <c r="AA50" s="19">
        <f>IF($H50&gt;0,'Calculation Constants'!$B$9*Hydraulics!$K50^2/2/9.81/MAX($F$4:$F$253)*$H50,"")</f>
        <v>6.3421890311175441E-2</v>
      </c>
      <c r="AB50" s="19">
        <f t="shared" si="27"/>
        <v>1.1460849670475151</v>
      </c>
      <c r="AC50" s="19">
        <f t="shared" si="8"/>
        <v>0</v>
      </c>
      <c r="AD50" s="19">
        <f t="shared" si="20"/>
        <v>47.203941186290081</v>
      </c>
      <c r="AE50" s="23">
        <f t="shared" si="9"/>
        <v>1070.4109411862901</v>
      </c>
      <c r="AF50" s="27">
        <f>(1/(2*LOG(3.7*$I50/'Calculation Constants'!$B$4*1000)))^2</f>
        <v>1.1458969193927592E-2</v>
      </c>
      <c r="AG50" s="19">
        <f t="shared" si="10"/>
        <v>1.274999100520025</v>
      </c>
      <c r="AH50" s="19">
        <f>IF($H50&gt;0,'Calculation Constants'!$B$9*Hydraulics!$K50^2/2/9.81/MAX($F$4:$F$253)*$H50,"")</f>
        <v>6.3421890311175441E-2</v>
      </c>
      <c r="AI50" s="19">
        <f t="shared" si="21"/>
        <v>1.3384209908312004</v>
      </c>
      <c r="AJ50" s="19">
        <f t="shared" si="11"/>
        <v>0</v>
      </c>
      <c r="AK50" s="19">
        <f t="shared" si="22"/>
        <v>40.279844330072933</v>
      </c>
      <c r="AL50" s="23">
        <f t="shared" si="12"/>
        <v>1063.4868443300729</v>
      </c>
      <c r="AM50" s="22">
        <f>(1/(2*LOG(3.7*($I50-0.008)/'Calculation Constants'!$B$5*1000)))^2</f>
        <v>1.4542845531075887E-2</v>
      </c>
      <c r="AN50" s="19">
        <f t="shared" si="23"/>
        <v>1.6249731396833385</v>
      </c>
      <c r="AO50" s="19">
        <f>IF($H50&gt;0,'Calculation Constants'!$B$9*Hydraulics!$K50^2/2/9.81/MAX($F$4:$F$253)*$H50,"")</f>
        <v>6.3421890311175441E-2</v>
      </c>
      <c r="AP50" s="19">
        <f t="shared" si="24"/>
        <v>1.6883950299945139</v>
      </c>
      <c r="AQ50" s="19">
        <f t="shared" si="13"/>
        <v>0</v>
      </c>
      <c r="AR50" s="19">
        <f t="shared" si="25"/>
        <v>27.680778920195166</v>
      </c>
      <c r="AS50" s="23">
        <f t="shared" si="14"/>
        <v>1050.8877789201952</v>
      </c>
    </row>
    <row r="51" spans="5:45">
      <c r="E51" s="35" t="str">
        <f t="shared" si="0"/>
        <v/>
      </c>
      <c r="F51" s="19">
        <f>'Profile data'!A51</f>
        <v>96</v>
      </c>
      <c r="G51" s="19">
        <f>VLOOKUP(F51,'Profile data'!A51:C310,IF($B$22="Botswana 1",2,3))</f>
        <v>1021.503</v>
      </c>
      <c r="H51" s="19">
        <f t="shared" si="26"/>
        <v>2</v>
      </c>
      <c r="I51" s="19">
        <v>1.9</v>
      </c>
      <c r="J51" s="36">
        <f>'Flow Rate Calculations'!$B$7</f>
        <v>4.0831050228310497</v>
      </c>
      <c r="K51" s="36">
        <f t="shared" si="15"/>
        <v>1.440102709245225</v>
      </c>
      <c r="L51" s="37">
        <f>$I51*$K51/'Calculation Constants'!$B$7</f>
        <v>2421411.6350140949</v>
      </c>
      <c r="M51" s="37">
        <f t="shared" si="1"/>
        <v>90.16700000000003</v>
      </c>
      <c r="N51" s="23">
        <f t="shared" si="16"/>
        <v>52.127285259021278</v>
      </c>
      <c r="O51" s="55">
        <f t="shared" si="2"/>
        <v>90.16700000000003</v>
      </c>
      <c r="P51" s="64">
        <f>MAX(I51*1000/'Calculation Constants'!$B$14,O51*10*I51*1000/2/('Calculation Constants'!$B$12*1000*'Calculation Constants'!$B$13))</f>
        <v>11.875</v>
      </c>
      <c r="Q51" s="66">
        <f t="shared" si="3"/>
        <v>1105894.9783427313</v>
      </c>
      <c r="R51" s="27">
        <f>(1/(2*LOG(3.7*$I51/'Calculation Constants'!$B$2*1000)))^2</f>
        <v>8.6699836115820689E-3</v>
      </c>
      <c r="S51" s="19">
        <f t="shared" si="17"/>
        <v>0.96467850809376621</v>
      </c>
      <c r="T51" s="19">
        <f>IF($H51&gt;0,'Calculation Constants'!$B$9*Hydraulics!$K51^2/2/9.81/MAX($F$4:$F$253)*$H51,"")</f>
        <v>6.3421890311175441E-2</v>
      </c>
      <c r="U51" s="19">
        <f t="shared" si="18"/>
        <v>1.0281003984049417</v>
      </c>
      <c r="V51" s="19">
        <f t="shared" si="4"/>
        <v>0</v>
      </c>
      <c r="W51" s="19">
        <f t="shared" si="5"/>
        <v>52.127285259021278</v>
      </c>
      <c r="X51" s="23">
        <f t="shared" si="6"/>
        <v>1073.6302852590213</v>
      </c>
      <c r="Y51" s="22">
        <f>(1/(2*LOG(3.7*$I51/'Calculation Constants'!$B$3*1000)))^2</f>
        <v>9.7303620360708887E-3</v>
      </c>
      <c r="Z51" s="19">
        <f t="shared" si="7"/>
        <v>1.0826630767363397</v>
      </c>
      <c r="AA51" s="19">
        <f>IF($H51&gt;0,'Calculation Constants'!$B$9*Hydraulics!$K51^2/2/9.81/MAX($F$4:$F$253)*$H51,"")</f>
        <v>6.3421890311175441E-2</v>
      </c>
      <c r="AB51" s="19">
        <f t="shared" si="27"/>
        <v>1.1460849670475151</v>
      </c>
      <c r="AC51" s="19">
        <f t="shared" si="8"/>
        <v>0</v>
      </c>
      <c r="AD51" s="19">
        <f t="shared" si="20"/>
        <v>47.761856219242532</v>
      </c>
      <c r="AE51" s="23">
        <f t="shared" si="9"/>
        <v>1069.2648562192426</v>
      </c>
      <c r="AF51" s="27">
        <f>(1/(2*LOG(3.7*$I51/'Calculation Constants'!$B$4*1000)))^2</f>
        <v>1.1458969193927592E-2</v>
      </c>
      <c r="AG51" s="19">
        <f t="shared" si="10"/>
        <v>1.274999100520025</v>
      </c>
      <c r="AH51" s="19">
        <f>IF($H51&gt;0,'Calculation Constants'!$B$9*Hydraulics!$K51^2/2/9.81/MAX($F$4:$F$253)*$H51,"")</f>
        <v>6.3421890311175441E-2</v>
      </c>
      <c r="AI51" s="19">
        <f t="shared" si="21"/>
        <v>1.3384209908312004</v>
      </c>
      <c r="AJ51" s="19">
        <f t="shared" si="11"/>
        <v>0</v>
      </c>
      <c r="AK51" s="19">
        <f t="shared" si="22"/>
        <v>40.645423339241574</v>
      </c>
      <c r="AL51" s="23">
        <f t="shared" si="12"/>
        <v>1062.1484233392416</v>
      </c>
      <c r="AM51" s="22">
        <f>(1/(2*LOG(3.7*($I51-0.008)/'Calculation Constants'!$B$5*1000)))^2</f>
        <v>1.4542845531075887E-2</v>
      </c>
      <c r="AN51" s="19">
        <f t="shared" si="23"/>
        <v>1.6249731396833385</v>
      </c>
      <c r="AO51" s="19">
        <f>IF($H51&gt;0,'Calculation Constants'!$B$9*Hydraulics!$K51^2/2/9.81/MAX($F$4:$F$253)*$H51,"")</f>
        <v>6.3421890311175441E-2</v>
      </c>
      <c r="AP51" s="19">
        <f t="shared" si="24"/>
        <v>1.6883950299945139</v>
      </c>
      <c r="AQ51" s="19">
        <f t="shared" si="13"/>
        <v>0</v>
      </c>
      <c r="AR51" s="19">
        <f t="shared" si="25"/>
        <v>27.696383890200536</v>
      </c>
      <c r="AS51" s="23">
        <f t="shared" si="14"/>
        <v>1049.1993838902006</v>
      </c>
    </row>
    <row r="52" spans="5:45">
      <c r="E52" s="35" t="str">
        <f t="shared" si="0"/>
        <v/>
      </c>
      <c r="F52" s="19">
        <f>'Profile data'!A52</f>
        <v>98</v>
      </c>
      <c r="G52" s="19">
        <f>VLOOKUP(F52,'Profile data'!A52:C311,IF($B$22="Botswana 1",2,3))</f>
        <v>1019.765</v>
      </c>
      <c r="H52" s="19">
        <f t="shared" si="26"/>
        <v>2</v>
      </c>
      <c r="I52" s="19">
        <v>1.9</v>
      </c>
      <c r="J52" s="36">
        <f>'Flow Rate Calculations'!$B$7</f>
        <v>4.0831050228310497</v>
      </c>
      <c r="K52" s="36">
        <f t="shared" si="15"/>
        <v>1.440102709245225</v>
      </c>
      <c r="L52" s="37">
        <f>$I52*$K52/'Calculation Constants'!$B$7</f>
        <v>2421411.6350140949</v>
      </c>
      <c r="M52" s="37">
        <f t="shared" si="1"/>
        <v>91.905000000000086</v>
      </c>
      <c r="N52" s="23">
        <f t="shared" si="16"/>
        <v>52.837184860616503</v>
      </c>
      <c r="O52" s="55">
        <f t="shared" si="2"/>
        <v>91.905000000000086</v>
      </c>
      <c r="P52" s="64">
        <f>MAX(I52*1000/'Calculation Constants'!$B$14,O52*10*I52*1000/2/('Calculation Constants'!$B$12*1000*'Calculation Constants'!$B$13))</f>
        <v>11.875</v>
      </c>
      <c r="Q52" s="66">
        <f t="shared" si="3"/>
        <v>1105894.9783427313</v>
      </c>
      <c r="R52" s="27">
        <f>(1/(2*LOG(3.7*$I52/'Calculation Constants'!$B$2*1000)))^2</f>
        <v>8.6699836115820689E-3</v>
      </c>
      <c r="S52" s="19">
        <f t="shared" si="17"/>
        <v>0.96467850809376621</v>
      </c>
      <c r="T52" s="19">
        <f>IF($H52&gt;0,'Calculation Constants'!$B$9*Hydraulics!$K52^2/2/9.81/MAX($F$4:$F$253)*$H52,"")</f>
        <v>6.3421890311175441E-2</v>
      </c>
      <c r="U52" s="19">
        <f t="shared" si="18"/>
        <v>1.0281003984049417</v>
      </c>
      <c r="V52" s="19">
        <f t="shared" si="4"/>
        <v>0</v>
      </c>
      <c r="W52" s="19">
        <f t="shared" si="5"/>
        <v>52.837184860616503</v>
      </c>
      <c r="X52" s="23">
        <f t="shared" si="6"/>
        <v>1072.6021848606165</v>
      </c>
      <c r="Y52" s="22">
        <f>(1/(2*LOG(3.7*$I52/'Calculation Constants'!$B$3*1000)))^2</f>
        <v>9.7303620360708887E-3</v>
      </c>
      <c r="Z52" s="19">
        <f t="shared" si="7"/>
        <v>1.0826630767363397</v>
      </c>
      <c r="AA52" s="19">
        <f>IF($H52&gt;0,'Calculation Constants'!$B$9*Hydraulics!$K52^2/2/9.81/MAX($F$4:$F$253)*$H52,"")</f>
        <v>6.3421890311175441E-2</v>
      </c>
      <c r="AB52" s="19">
        <f t="shared" si="27"/>
        <v>1.1460849670475151</v>
      </c>
      <c r="AC52" s="19">
        <f t="shared" si="8"/>
        <v>0</v>
      </c>
      <c r="AD52" s="19">
        <f t="shared" si="20"/>
        <v>48.353771252195088</v>
      </c>
      <c r="AE52" s="23">
        <f t="shared" si="9"/>
        <v>1068.1187712521951</v>
      </c>
      <c r="AF52" s="27">
        <f>(1/(2*LOG(3.7*$I52/'Calculation Constants'!$B$4*1000)))^2</f>
        <v>1.1458969193927592E-2</v>
      </c>
      <c r="AG52" s="19">
        <f t="shared" si="10"/>
        <v>1.274999100520025</v>
      </c>
      <c r="AH52" s="19">
        <f>IF($H52&gt;0,'Calculation Constants'!$B$9*Hydraulics!$K52^2/2/9.81/MAX($F$4:$F$253)*$H52,"")</f>
        <v>6.3421890311175441E-2</v>
      </c>
      <c r="AI52" s="19">
        <f t="shared" si="21"/>
        <v>1.3384209908312004</v>
      </c>
      <c r="AJ52" s="19">
        <f t="shared" si="11"/>
        <v>0</v>
      </c>
      <c r="AK52" s="19">
        <f t="shared" si="22"/>
        <v>41.045002348410321</v>
      </c>
      <c r="AL52" s="23">
        <f t="shared" si="12"/>
        <v>1060.8100023484103</v>
      </c>
      <c r="AM52" s="22">
        <f>(1/(2*LOG(3.7*($I52-0.008)/'Calculation Constants'!$B$5*1000)))^2</f>
        <v>1.4542845531075887E-2</v>
      </c>
      <c r="AN52" s="19">
        <f t="shared" si="23"/>
        <v>1.6249731396833385</v>
      </c>
      <c r="AO52" s="19">
        <f>IF($H52&gt;0,'Calculation Constants'!$B$9*Hydraulics!$K52^2/2/9.81/MAX($F$4:$F$253)*$H52,"")</f>
        <v>6.3421890311175441E-2</v>
      </c>
      <c r="AP52" s="19">
        <f t="shared" si="24"/>
        <v>1.6883950299945139</v>
      </c>
      <c r="AQ52" s="19">
        <f t="shared" si="13"/>
        <v>0</v>
      </c>
      <c r="AR52" s="19">
        <f t="shared" si="25"/>
        <v>27.745988860206012</v>
      </c>
      <c r="AS52" s="23">
        <f t="shared" si="14"/>
        <v>1047.510988860206</v>
      </c>
    </row>
    <row r="53" spans="5:45">
      <c r="E53" s="35" t="str">
        <f t="shared" si="0"/>
        <v/>
      </c>
      <c r="F53" s="19">
        <f>'Profile data'!A53</f>
        <v>100</v>
      </c>
      <c r="G53" s="19">
        <f>VLOOKUP(F53,'Profile data'!A53:C312,IF($B$22="Botswana 1",2,3))</f>
        <v>1018.4930000000001</v>
      </c>
      <c r="H53" s="19">
        <f t="shared" si="26"/>
        <v>2</v>
      </c>
      <c r="I53" s="19">
        <v>1.9</v>
      </c>
      <c r="J53" s="36">
        <f>'Flow Rate Calculations'!$B$7</f>
        <v>4.0831050228310497</v>
      </c>
      <c r="K53" s="36">
        <f t="shared" si="15"/>
        <v>1.440102709245225</v>
      </c>
      <c r="L53" s="37">
        <f>$I53*$K53/'Calculation Constants'!$B$7</f>
        <v>2421411.6350140949</v>
      </c>
      <c r="M53" s="37">
        <f t="shared" si="1"/>
        <v>93.177000000000021</v>
      </c>
      <c r="N53" s="23">
        <f t="shared" si="16"/>
        <v>53.081084462211606</v>
      </c>
      <c r="O53" s="55">
        <f t="shared" si="2"/>
        <v>93.177000000000021</v>
      </c>
      <c r="P53" s="64">
        <f>MAX(I53*1000/'Calculation Constants'!$B$14,O53*10*I53*1000/2/('Calculation Constants'!$B$12*1000*'Calculation Constants'!$B$13))</f>
        <v>11.875</v>
      </c>
      <c r="Q53" s="66">
        <f t="shared" si="3"/>
        <v>1105894.9783427313</v>
      </c>
      <c r="R53" s="27">
        <f>(1/(2*LOG(3.7*$I53/'Calculation Constants'!$B$2*1000)))^2</f>
        <v>8.6699836115820689E-3</v>
      </c>
      <c r="S53" s="19">
        <f t="shared" si="17"/>
        <v>0.96467850809376621</v>
      </c>
      <c r="T53" s="19">
        <f>IF($H53&gt;0,'Calculation Constants'!$B$9*Hydraulics!$K53^2/2/9.81/MAX($F$4:$F$253)*$H53,"")</f>
        <v>6.3421890311175441E-2</v>
      </c>
      <c r="U53" s="19">
        <f t="shared" si="18"/>
        <v>1.0281003984049417</v>
      </c>
      <c r="V53" s="19">
        <f t="shared" si="4"/>
        <v>0</v>
      </c>
      <c r="W53" s="19">
        <f t="shared" si="5"/>
        <v>53.081084462211606</v>
      </c>
      <c r="X53" s="23">
        <f t="shared" si="6"/>
        <v>1071.5740844622117</v>
      </c>
      <c r="Y53" s="22">
        <f>(1/(2*LOG(3.7*$I53/'Calculation Constants'!$B$3*1000)))^2</f>
        <v>9.7303620360708887E-3</v>
      </c>
      <c r="Z53" s="19">
        <f t="shared" si="7"/>
        <v>1.0826630767363397</v>
      </c>
      <c r="AA53" s="19">
        <f>IF($H53&gt;0,'Calculation Constants'!$B$9*Hydraulics!$K53^2/2/9.81/MAX($F$4:$F$253)*$H53,"")</f>
        <v>6.3421890311175441E-2</v>
      </c>
      <c r="AB53" s="19">
        <f t="shared" si="27"/>
        <v>1.1460849670475151</v>
      </c>
      <c r="AC53" s="19">
        <f t="shared" si="8"/>
        <v>0</v>
      </c>
      <c r="AD53" s="19">
        <f t="shared" si="20"/>
        <v>48.479686285147523</v>
      </c>
      <c r="AE53" s="23">
        <f t="shared" si="9"/>
        <v>1066.9726862851476</v>
      </c>
      <c r="AF53" s="27">
        <f>(1/(2*LOG(3.7*$I53/'Calculation Constants'!$B$4*1000)))^2</f>
        <v>1.1458969193927592E-2</v>
      </c>
      <c r="AG53" s="19">
        <f t="shared" si="10"/>
        <v>1.274999100520025</v>
      </c>
      <c r="AH53" s="19">
        <f>IF($H53&gt;0,'Calculation Constants'!$B$9*Hydraulics!$K53^2/2/9.81/MAX($F$4:$F$253)*$H53,"")</f>
        <v>6.3421890311175441E-2</v>
      </c>
      <c r="AI53" s="19">
        <f t="shared" si="21"/>
        <v>1.3384209908312004</v>
      </c>
      <c r="AJ53" s="19">
        <f t="shared" si="11"/>
        <v>0</v>
      </c>
      <c r="AK53" s="19">
        <f t="shared" si="22"/>
        <v>40.978581357578946</v>
      </c>
      <c r="AL53" s="23">
        <f t="shared" si="12"/>
        <v>1059.471581357579</v>
      </c>
      <c r="AM53" s="22">
        <f>(1/(2*LOG(3.7*($I53-0.008)/'Calculation Constants'!$B$5*1000)))^2</f>
        <v>1.4542845531075887E-2</v>
      </c>
      <c r="AN53" s="19">
        <f t="shared" si="23"/>
        <v>1.6249731396833385</v>
      </c>
      <c r="AO53" s="19">
        <f>IF($H53&gt;0,'Calculation Constants'!$B$9*Hydraulics!$K53^2/2/9.81/MAX($F$4:$F$253)*$H53,"")</f>
        <v>6.3421890311175441E-2</v>
      </c>
      <c r="AP53" s="19">
        <f t="shared" si="24"/>
        <v>1.6883950299945139</v>
      </c>
      <c r="AQ53" s="19">
        <f t="shared" si="13"/>
        <v>0</v>
      </c>
      <c r="AR53" s="19">
        <f t="shared" si="25"/>
        <v>27.329593830211365</v>
      </c>
      <c r="AS53" s="23">
        <f t="shared" si="14"/>
        <v>1045.8225938302114</v>
      </c>
    </row>
    <row r="54" spans="5:45">
      <c r="E54" s="35" t="str">
        <f t="shared" si="0"/>
        <v/>
      </c>
      <c r="F54" s="19">
        <f>'Profile data'!A54</f>
        <v>102</v>
      </c>
      <c r="G54" s="19">
        <f>VLOOKUP(F54,'Profile data'!A54:C313,IF($B$22="Botswana 1",2,3))</f>
        <v>1016.444</v>
      </c>
      <c r="H54" s="19">
        <f t="shared" si="26"/>
        <v>2</v>
      </c>
      <c r="I54" s="19">
        <v>1.9</v>
      </c>
      <c r="J54" s="36">
        <f>'Flow Rate Calculations'!$B$7</f>
        <v>4.0831050228310497</v>
      </c>
      <c r="K54" s="36">
        <f t="shared" si="15"/>
        <v>1.440102709245225</v>
      </c>
      <c r="L54" s="37">
        <f>$I54*$K54/'Calculation Constants'!$B$7</f>
        <v>2421411.6350140949</v>
      </c>
      <c r="M54" s="37">
        <f t="shared" si="1"/>
        <v>95.226000000000113</v>
      </c>
      <c r="N54" s="23">
        <f t="shared" si="16"/>
        <v>54.101984063806867</v>
      </c>
      <c r="O54" s="55">
        <f t="shared" si="2"/>
        <v>95.226000000000113</v>
      </c>
      <c r="P54" s="64">
        <f>MAX(I54*1000/'Calculation Constants'!$B$14,O54*10*I54*1000/2/('Calculation Constants'!$B$12*1000*'Calculation Constants'!$B$13))</f>
        <v>11.875</v>
      </c>
      <c r="Q54" s="66">
        <f t="shared" si="3"/>
        <v>1105894.9783427313</v>
      </c>
      <c r="R54" s="27">
        <f>(1/(2*LOG(3.7*$I54/'Calculation Constants'!$B$2*1000)))^2</f>
        <v>8.6699836115820689E-3</v>
      </c>
      <c r="S54" s="19">
        <f t="shared" si="17"/>
        <v>0.96467850809376621</v>
      </c>
      <c r="T54" s="19">
        <f>IF($H54&gt;0,'Calculation Constants'!$B$9*Hydraulics!$K54^2/2/9.81/MAX($F$4:$F$253)*$H54,"")</f>
        <v>6.3421890311175441E-2</v>
      </c>
      <c r="U54" s="19">
        <f t="shared" si="18"/>
        <v>1.0281003984049417</v>
      </c>
      <c r="V54" s="19">
        <f t="shared" si="4"/>
        <v>0</v>
      </c>
      <c r="W54" s="19">
        <f t="shared" si="5"/>
        <v>54.101984063806867</v>
      </c>
      <c r="X54" s="23">
        <f t="shared" si="6"/>
        <v>1070.5459840638068</v>
      </c>
      <c r="Y54" s="22">
        <f>(1/(2*LOG(3.7*$I54/'Calculation Constants'!$B$3*1000)))^2</f>
        <v>9.7303620360708887E-3</v>
      </c>
      <c r="Z54" s="19">
        <f t="shared" si="7"/>
        <v>1.0826630767363397</v>
      </c>
      <c r="AA54" s="19">
        <f>IF($H54&gt;0,'Calculation Constants'!$B$9*Hydraulics!$K54^2/2/9.81/MAX($F$4:$F$253)*$H54,"")</f>
        <v>6.3421890311175441E-2</v>
      </c>
      <c r="AB54" s="19">
        <f t="shared" si="27"/>
        <v>1.1460849670475151</v>
      </c>
      <c r="AC54" s="19">
        <f t="shared" si="8"/>
        <v>0</v>
      </c>
      <c r="AD54" s="19">
        <f t="shared" si="20"/>
        <v>49.382601318100114</v>
      </c>
      <c r="AE54" s="23">
        <f t="shared" si="9"/>
        <v>1065.8266013181001</v>
      </c>
      <c r="AF54" s="27">
        <f>(1/(2*LOG(3.7*$I54/'Calculation Constants'!$B$4*1000)))^2</f>
        <v>1.1458969193927592E-2</v>
      </c>
      <c r="AG54" s="19">
        <f t="shared" si="10"/>
        <v>1.274999100520025</v>
      </c>
      <c r="AH54" s="19">
        <f>IF($H54&gt;0,'Calculation Constants'!$B$9*Hydraulics!$K54^2/2/9.81/MAX($F$4:$F$253)*$H54,"")</f>
        <v>6.3421890311175441E-2</v>
      </c>
      <c r="AI54" s="19">
        <f t="shared" si="21"/>
        <v>1.3384209908312004</v>
      </c>
      <c r="AJ54" s="19">
        <f t="shared" si="11"/>
        <v>0</v>
      </c>
      <c r="AK54" s="19">
        <f t="shared" si="22"/>
        <v>41.689160366747728</v>
      </c>
      <c r="AL54" s="23">
        <f t="shared" si="12"/>
        <v>1058.1331603667477</v>
      </c>
      <c r="AM54" s="22">
        <f>(1/(2*LOG(3.7*($I54-0.008)/'Calculation Constants'!$B$5*1000)))^2</f>
        <v>1.4542845531075887E-2</v>
      </c>
      <c r="AN54" s="19">
        <f t="shared" si="23"/>
        <v>1.6249731396833385</v>
      </c>
      <c r="AO54" s="19">
        <f>IF($H54&gt;0,'Calculation Constants'!$B$9*Hydraulics!$K54^2/2/9.81/MAX($F$4:$F$253)*$H54,"")</f>
        <v>6.3421890311175441E-2</v>
      </c>
      <c r="AP54" s="19">
        <f t="shared" si="24"/>
        <v>1.6883950299945139</v>
      </c>
      <c r="AQ54" s="19">
        <f t="shared" si="13"/>
        <v>0</v>
      </c>
      <c r="AR54" s="19">
        <f t="shared" si="25"/>
        <v>27.690198800216876</v>
      </c>
      <c r="AS54" s="23">
        <f t="shared" si="14"/>
        <v>1044.1341988002168</v>
      </c>
    </row>
    <row r="55" spans="5:45">
      <c r="E55" s="35" t="str">
        <f t="shared" si="0"/>
        <v/>
      </c>
      <c r="F55" s="19">
        <f>'Profile data'!A55</f>
        <v>104</v>
      </c>
      <c r="G55" s="19">
        <f>VLOOKUP(F55,'Profile data'!A55:C314,IF($B$22="Botswana 1",2,3))</f>
        <v>1013.288</v>
      </c>
      <c r="H55" s="19">
        <f t="shared" si="26"/>
        <v>2</v>
      </c>
      <c r="I55" s="19">
        <v>1.9</v>
      </c>
      <c r="J55" s="36">
        <f>'Flow Rate Calculations'!$B$7</f>
        <v>4.0831050228310497</v>
      </c>
      <c r="K55" s="36">
        <f t="shared" si="15"/>
        <v>1.440102709245225</v>
      </c>
      <c r="L55" s="37">
        <f>$I55*$K55/'Calculation Constants'!$B$7</f>
        <v>2421411.6350140949</v>
      </c>
      <c r="M55" s="37">
        <f t="shared" si="1"/>
        <v>98.382000000000062</v>
      </c>
      <c r="N55" s="23">
        <f t="shared" si="16"/>
        <v>56.229883665401985</v>
      </c>
      <c r="O55" s="55">
        <f t="shared" si="2"/>
        <v>98.382000000000062</v>
      </c>
      <c r="P55" s="64">
        <f>MAX(I55*1000/'Calculation Constants'!$B$14,O55*10*I55*1000/2/('Calculation Constants'!$B$12*1000*'Calculation Constants'!$B$13))</f>
        <v>11.875</v>
      </c>
      <c r="Q55" s="66">
        <f t="shared" si="3"/>
        <v>1105894.9783427313</v>
      </c>
      <c r="R55" s="27">
        <f>(1/(2*LOG(3.7*$I55/'Calculation Constants'!$B$2*1000)))^2</f>
        <v>8.6699836115820689E-3</v>
      </c>
      <c r="S55" s="19">
        <f t="shared" si="17"/>
        <v>0.96467850809376621</v>
      </c>
      <c r="T55" s="19">
        <f>IF($H55&gt;0,'Calculation Constants'!$B$9*Hydraulics!$K55^2/2/9.81/MAX($F$4:$F$253)*$H55,"")</f>
        <v>6.3421890311175441E-2</v>
      </c>
      <c r="U55" s="19">
        <f t="shared" si="18"/>
        <v>1.0281003984049417</v>
      </c>
      <c r="V55" s="19">
        <f t="shared" si="4"/>
        <v>0</v>
      </c>
      <c r="W55" s="19">
        <f t="shared" si="5"/>
        <v>56.229883665401985</v>
      </c>
      <c r="X55" s="23">
        <f t="shared" si="6"/>
        <v>1069.517883665402</v>
      </c>
      <c r="Y55" s="22">
        <f>(1/(2*LOG(3.7*$I55/'Calculation Constants'!$B$3*1000)))^2</f>
        <v>9.7303620360708887E-3</v>
      </c>
      <c r="Z55" s="19">
        <f t="shared" si="7"/>
        <v>1.0826630767363397</v>
      </c>
      <c r="AA55" s="19">
        <f>IF($H55&gt;0,'Calculation Constants'!$B$9*Hydraulics!$K55^2/2/9.81/MAX($F$4:$F$253)*$H55,"")</f>
        <v>6.3421890311175441E-2</v>
      </c>
      <c r="AB55" s="19">
        <f t="shared" si="27"/>
        <v>1.1460849670475151</v>
      </c>
      <c r="AC55" s="19">
        <f t="shared" si="8"/>
        <v>0</v>
      </c>
      <c r="AD55" s="19">
        <f t="shared" si="20"/>
        <v>51.392516351052564</v>
      </c>
      <c r="AE55" s="23">
        <f t="shared" si="9"/>
        <v>1064.6805163510526</v>
      </c>
      <c r="AF55" s="27">
        <f>(1/(2*LOG(3.7*$I55/'Calculation Constants'!$B$4*1000)))^2</f>
        <v>1.1458969193927592E-2</v>
      </c>
      <c r="AG55" s="19">
        <f t="shared" si="10"/>
        <v>1.274999100520025</v>
      </c>
      <c r="AH55" s="19">
        <f>IF($H55&gt;0,'Calculation Constants'!$B$9*Hydraulics!$K55^2/2/9.81/MAX($F$4:$F$253)*$H55,"")</f>
        <v>6.3421890311175441E-2</v>
      </c>
      <c r="AI55" s="19">
        <f t="shared" si="21"/>
        <v>1.3384209908312004</v>
      </c>
      <c r="AJ55" s="19">
        <f t="shared" si="11"/>
        <v>0</v>
      </c>
      <c r="AK55" s="19">
        <f t="shared" si="22"/>
        <v>43.506739375916368</v>
      </c>
      <c r="AL55" s="23">
        <f t="shared" si="12"/>
        <v>1056.7947393759164</v>
      </c>
      <c r="AM55" s="22">
        <f>(1/(2*LOG(3.7*($I55-0.008)/'Calculation Constants'!$B$5*1000)))^2</f>
        <v>1.4542845531075887E-2</v>
      </c>
      <c r="AN55" s="19">
        <f t="shared" si="23"/>
        <v>1.6249731396833385</v>
      </c>
      <c r="AO55" s="19">
        <f>IF($H55&gt;0,'Calculation Constants'!$B$9*Hydraulics!$K55^2/2/9.81/MAX($F$4:$F$253)*$H55,"")</f>
        <v>6.3421890311175441E-2</v>
      </c>
      <c r="AP55" s="19">
        <f t="shared" si="24"/>
        <v>1.6883950299945139</v>
      </c>
      <c r="AQ55" s="19">
        <f t="shared" si="13"/>
        <v>0</v>
      </c>
      <c r="AR55" s="19">
        <f t="shared" si="25"/>
        <v>29.157803770222245</v>
      </c>
      <c r="AS55" s="23">
        <f t="shared" si="14"/>
        <v>1042.4458037702223</v>
      </c>
    </row>
    <row r="56" spans="5:45">
      <c r="E56" s="35" t="str">
        <f t="shared" si="0"/>
        <v/>
      </c>
      <c r="F56" s="19">
        <f>'Profile data'!A56</f>
        <v>106</v>
      </c>
      <c r="G56" s="19">
        <f>VLOOKUP(F56,'Profile data'!A56:C315,IF($B$22="Botswana 1",2,3))</f>
        <v>1007.843</v>
      </c>
      <c r="H56" s="19">
        <f t="shared" si="26"/>
        <v>2</v>
      </c>
      <c r="I56" s="19">
        <v>1.9</v>
      </c>
      <c r="J56" s="36">
        <f>'Flow Rate Calculations'!$B$7</f>
        <v>4.0831050228310497</v>
      </c>
      <c r="K56" s="36">
        <f t="shared" si="15"/>
        <v>1.440102709245225</v>
      </c>
      <c r="L56" s="37">
        <f>$I56*$K56/'Calculation Constants'!$B$7</f>
        <v>2421411.6350140949</v>
      </c>
      <c r="M56" s="37">
        <f t="shared" si="1"/>
        <v>103.82700000000011</v>
      </c>
      <c r="N56" s="23">
        <f t="shared" si="16"/>
        <v>60.646783266997204</v>
      </c>
      <c r="O56" s="55">
        <f t="shared" si="2"/>
        <v>103.82700000000011</v>
      </c>
      <c r="P56" s="64">
        <f>MAX(I56*1000/'Calculation Constants'!$B$14,O56*10*I56*1000/2/('Calculation Constants'!$B$12*1000*'Calculation Constants'!$B$13))</f>
        <v>11.875</v>
      </c>
      <c r="Q56" s="66">
        <f t="shared" si="3"/>
        <v>1105894.9783427313</v>
      </c>
      <c r="R56" s="27">
        <f>(1/(2*LOG(3.7*$I56/'Calculation Constants'!$B$2*1000)))^2</f>
        <v>8.6699836115820689E-3</v>
      </c>
      <c r="S56" s="19">
        <f t="shared" si="17"/>
        <v>0.96467850809376621</v>
      </c>
      <c r="T56" s="19">
        <f>IF($H56&gt;0,'Calculation Constants'!$B$9*Hydraulics!$K56^2/2/9.81/MAX($F$4:$F$253)*$H56,"")</f>
        <v>6.3421890311175441E-2</v>
      </c>
      <c r="U56" s="19">
        <f t="shared" si="18"/>
        <v>1.0281003984049417</v>
      </c>
      <c r="V56" s="19">
        <f t="shared" si="4"/>
        <v>0</v>
      </c>
      <c r="W56" s="19">
        <f t="shared" si="5"/>
        <v>60.646783266997204</v>
      </c>
      <c r="X56" s="23">
        <f t="shared" si="6"/>
        <v>1068.4897832669972</v>
      </c>
      <c r="Y56" s="22">
        <f>(1/(2*LOG(3.7*$I56/'Calculation Constants'!$B$3*1000)))^2</f>
        <v>9.7303620360708887E-3</v>
      </c>
      <c r="Z56" s="19">
        <f t="shared" si="7"/>
        <v>1.0826630767363397</v>
      </c>
      <c r="AA56" s="19">
        <f>IF($H56&gt;0,'Calculation Constants'!$B$9*Hydraulics!$K56^2/2/9.81/MAX($F$4:$F$253)*$H56,"")</f>
        <v>6.3421890311175441E-2</v>
      </c>
      <c r="AB56" s="19">
        <f t="shared" si="27"/>
        <v>1.1460849670475151</v>
      </c>
      <c r="AC56" s="19">
        <f t="shared" si="8"/>
        <v>0</v>
      </c>
      <c r="AD56" s="19">
        <f t="shared" si="20"/>
        <v>55.691431384005114</v>
      </c>
      <c r="AE56" s="23">
        <f t="shared" si="9"/>
        <v>1063.5344313840051</v>
      </c>
      <c r="AF56" s="27">
        <f>(1/(2*LOG(3.7*$I56/'Calculation Constants'!$B$4*1000)))^2</f>
        <v>1.1458969193927592E-2</v>
      </c>
      <c r="AG56" s="19">
        <f t="shared" si="10"/>
        <v>1.274999100520025</v>
      </c>
      <c r="AH56" s="19">
        <f>IF($H56&gt;0,'Calculation Constants'!$B$9*Hydraulics!$K56^2/2/9.81/MAX($F$4:$F$253)*$H56,"")</f>
        <v>6.3421890311175441E-2</v>
      </c>
      <c r="AI56" s="19">
        <f t="shared" si="21"/>
        <v>1.3384209908312004</v>
      </c>
      <c r="AJ56" s="19">
        <f t="shared" si="11"/>
        <v>0</v>
      </c>
      <c r="AK56" s="19">
        <f t="shared" si="22"/>
        <v>47.613318385085108</v>
      </c>
      <c r="AL56" s="23">
        <f t="shared" si="12"/>
        <v>1055.4563183850851</v>
      </c>
      <c r="AM56" s="22">
        <f>(1/(2*LOG(3.7*($I56-0.008)/'Calculation Constants'!$B$5*1000)))^2</f>
        <v>1.4542845531075887E-2</v>
      </c>
      <c r="AN56" s="19">
        <f t="shared" si="23"/>
        <v>1.6249731396833385</v>
      </c>
      <c r="AO56" s="19">
        <f>IF($H56&gt;0,'Calculation Constants'!$B$9*Hydraulics!$K56^2/2/9.81/MAX($F$4:$F$253)*$H56,"")</f>
        <v>6.3421890311175441E-2</v>
      </c>
      <c r="AP56" s="19">
        <f t="shared" si="24"/>
        <v>1.6883950299945139</v>
      </c>
      <c r="AQ56" s="19">
        <f t="shared" si="13"/>
        <v>0</v>
      </c>
      <c r="AR56" s="19">
        <f t="shared" si="25"/>
        <v>32.914408740227714</v>
      </c>
      <c r="AS56" s="23">
        <f t="shared" si="14"/>
        <v>1040.7574087402277</v>
      </c>
    </row>
    <row r="57" spans="5:45">
      <c r="E57" s="35" t="str">
        <f t="shared" si="0"/>
        <v/>
      </c>
      <c r="F57" s="19">
        <f>'Profile data'!A57</f>
        <v>108</v>
      </c>
      <c r="G57" s="19">
        <f>VLOOKUP(F57,'Profile data'!A57:C316,IF($B$22="Botswana 1",2,3))</f>
        <v>1001.282</v>
      </c>
      <c r="H57" s="19">
        <f t="shared" si="26"/>
        <v>2</v>
      </c>
      <c r="I57" s="19">
        <v>1.9</v>
      </c>
      <c r="J57" s="36">
        <f>'Flow Rate Calculations'!$B$7</f>
        <v>4.0831050228310497</v>
      </c>
      <c r="K57" s="36">
        <f t="shared" si="15"/>
        <v>1.440102709245225</v>
      </c>
      <c r="L57" s="37">
        <f>$I57*$K57/'Calculation Constants'!$B$7</f>
        <v>2421411.6350140949</v>
      </c>
      <c r="M57" s="37">
        <f t="shared" si="1"/>
        <v>110.38800000000003</v>
      </c>
      <c r="N57" s="23">
        <f t="shared" si="16"/>
        <v>66.179682868592295</v>
      </c>
      <c r="O57" s="55">
        <f t="shared" si="2"/>
        <v>110.38800000000003</v>
      </c>
      <c r="P57" s="64">
        <f>MAX(I57*1000/'Calculation Constants'!$B$14,O57*10*I57*1000/2/('Calculation Constants'!$B$12*1000*'Calculation Constants'!$B$13))</f>
        <v>11.875</v>
      </c>
      <c r="Q57" s="66">
        <f t="shared" si="3"/>
        <v>1105894.9783427313</v>
      </c>
      <c r="R57" s="27">
        <f>(1/(2*LOG(3.7*$I57/'Calculation Constants'!$B$2*1000)))^2</f>
        <v>8.6699836115820689E-3</v>
      </c>
      <c r="S57" s="19">
        <f t="shared" si="17"/>
        <v>0.96467850809376621</v>
      </c>
      <c r="T57" s="19">
        <f>IF($H57&gt;0,'Calculation Constants'!$B$9*Hydraulics!$K57^2/2/9.81/MAX($F$4:$F$253)*$H57,"")</f>
        <v>6.3421890311175441E-2</v>
      </c>
      <c r="U57" s="19">
        <f t="shared" si="18"/>
        <v>1.0281003984049417</v>
      </c>
      <c r="V57" s="19">
        <f t="shared" si="4"/>
        <v>0</v>
      </c>
      <c r="W57" s="19">
        <f t="shared" si="5"/>
        <v>66.179682868592295</v>
      </c>
      <c r="X57" s="23">
        <f t="shared" si="6"/>
        <v>1067.4616828685923</v>
      </c>
      <c r="Y57" s="22">
        <f>(1/(2*LOG(3.7*$I57/'Calculation Constants'!$B$3*1000)))^2</f>
        <v>9.7303620360708887E-3</v>
      </c>
      <c r="Z57" s="19">
        <f t="shared" si="7"/>
        <v>1.0826630767363397</v>
      </c>
      <c r="AA57" s="19">
        <f>IF($H57&gt;0,'Calculation Constants'!$B$9*Hydraulics!$K57^2/2/9.81/MAX($F$4:$F$253)*$H57,"")</f>
        <v>6.3421890311175441E-2</v>
      </c>
      <c r="AB57" s="19">
        <f t="shared" si="27"/>
        <v>1.1460849670475151</v>
      </c>
      <c r="AC57" s="19">
        <f t="shared" si="8"/>
        <v>0</v>
      </c>
      <c r="AD57" s="19">
        <f t="shared" si="20"/>
        <v>61.106346416957535</v>
      </c>
      <c r="AE57" s="23">
        <f t="shared" si="9"/>
        <v>1062.3883464169576</v>
      </c>
      <c r="AF57" s="27">
        <f>(1/(2*LOG(3.7*$I57/'Calculation Constants'!$B$4*1000)))^2</f>
        <v>1.1458969193927592E-2</v>
      </c>
      <c r="AG57" s="19">
        <f t="shared" si="10"/>
        <v>1.274999100520025</v>
      </c>
      <c r="AH57" s="19">
        <f>IF($H57&gt;0,'Calculation Constants'!$B$9*Hydraulics!$K57^2/2/9.81/MAX($F$4:$F$253)*$H57,"")</f>
        <v>6.3421890311175441E-2</v>
      </c>
      <c r="AI57" s="19">
        <f t="shared" si="21"/>
        <v>1.3384209908312004</v>
      </c>
      <c r="AJ57" s="19">
        <f t="shared" si="11"/>
        <v>0</v>
      </c>
      <c r="AK57" s="19">
        <f t="shared" si="22"/>
        <v>52.83589739425372</v>
      </c>
      <c r="AL57" s="23">
        <f t="shared" si="12"/>
        <v>1054.1178973942538</v>
      </c>
      <c r="AM57" s="22">
        <f>(1/(2*LOG(3.7*($I57-0.008)/'Calculation Constants'!$B$5*1000)))^2</f>
        <v>1.4542845531075887E-2</v>
      </c>
      <c r="AN57" s="19">
        <f t="shared" si="23"/>
        <v>1.6249731396833385</v>
      </c>
      <c r="AO57" s="19">
        <f>IF($H57&gt;0,'Calculation Constants'!$B$9*Hydraulics!$K57^2/2/9.81/MAX($F$4:$F$253)*$H57,"")</f>
        <v>6.3421890311175441E-2</v>
      </c>
      <c r="AP57" s="19">
        <f t="shared" si="24"/>
        <v>1.6883950299945139</v>
      </c>
      <c r="AQ57" s="19">
        <f t="shared" si="13"/>
        <v>0</v>
      </c>
      <c r="AR57" s="19">
        <f t="shared" si="25"/>
        <v>37.787013710233055</v>
      </c>
      <c r="AS57" s="23">
        <f t="shared" si="14"/>
        <v>1039.0690137102331</v>
      </c>
    </row>
    <row r="58" spans="5:45">
      <c r="E58" s="35" t="str">
        <f t="shared" si="0"/>
        <v/>
      </c>
      <c r="F58" s="19">
        <f>'Profile data'!A58</f>
        <v>110</v>
      </c>
      <c r="G58" s="19">
        <f>VLOOKUP(F58,'Profile data'!A58:C317,IF($B$22="Botswana 1",2,3))</f>
        <v>996.60900000000004</v>
      </c>
      <c r="H58" s="19">
        <f t="shared" si="26"/>
        <v>2</v>
      </c>
      <c r="I58" s="19">
        <v>1.9</v>
      </c>
      <c r="J58" s="36">
        <f>'Flow Rate Calculations'!$B$7</f>
        <v>4.0831050228310497</v>
      </c>
      <c r="K58" s="36">
        <f t="shared" si="15"/>
        <v>1.440102709245225</v>
      </c>
      <c r="L58" s="37">
        <f>$I58*$K58/'Calculation Constants'!$B$7</f>
        <v>2421411.6350140949</v>
      </c>
      <c r="M58" s="37">
        <f t="shared" si="1"/>
        <v>115.06100000000004</v>
      </c>
      <c r="N58" s="23">
        <f t="shared" si="16"/>
        <v>69.824582470187465</v>
      </c>
      <c r="O58" s="55">
        <f t="shared" si="2"/>
        <v>115.06100000000004</v>
      </c>
      <c r="P58" s="64">
        <f>MAX(I58*1000/'Calculation Constants'!$B$14,O58*10*I58*1000/2/('Calculation Constants'!$B$12*1000*'Calculation Constants'!$B$13))</f>
        <v>11.875</v>
      </c>
      <c r="Q58" s="66">
        <f t="shared" si="3"/>
        <v>1105894.9783427313</v>
      </c>
      <c r="R58" s="27">
        <f>(1/(2*LOG(3.7*$I58/'Calculation Constants'!$B$2*1000)))^2</f>
        <v>8.6699836115820689E-3</v>
      </c>
      <c r="S58" s="19">
        <f t="shared" si="17"/>
        <v>0.96467850809376621</v>
      </c>
      <c r="T58" s="19">
        <f>IF($H58&gt;0,'Calculation Constants'!$B$9*Hydraulics!$K58^2/2/9.81/MAX($F$4:$F$253)*$H58,"")</f>
        <v>6.3421890311175441E-2</v>
      </c>
      <c r="U58" s="19">
        <f t="shared" si="18"/>
        <v>1.0281003984049417</v>
      </c>
      <c r="V58" s="19">
        <f t="shared" si="4"/>
        <v>0</v>
      </c>
      <c r="W58" s="19">
        <f t="shared" si="5"/>
        <v>69.824582470187465</v>
      </c>
      <c r="X58" s="23">
        <f t="shared" si="6"/>
        <v>1066.4335824701875</v>
      </c>
      <c r="Y58" s="22">
        <f>(1/(2*LOG(3.7*$I58/'Calculation Constants'!$B$3*1000)))^2</f>
        <v>9.7303620360708887E-3</v>
      </c>
      <c r="Z58" s="19">
        <f t="shared" si="7"/>
        <v>1.0826630767363397</v>
      </c>
      <c r="AA58" s="19">
        <f>IF($H58&gt;0,'Calculation Constants'!$B$9*Hydraulics!$K58^2/2/9.81/MAX($F$4:$F$253)*$H58,"")</f>
        <v>6.3421890311175441E-2</v>
      </c>
      <c r="AB58" s="19">
        <f t="shared" si="27"/>
        <v>1.1460849670475151</v>
      </c>
      <c r="AC58" s="19">
        <f t="shared" si="8"/>
        <v>0</v>
      </c>
      <c r="AD58" s="19">
        <f t="shared" si="20"/>
        <v>64.633261449910037</v>
      </c>
      <c r="AE58" s="23">
        <f t="shared" si="9"/>
        <v>1061.2422614499101</v>
      </c>
      <c r="AF58" s="27">
        <f>(1/(2*LOG(3.7*$I58/'Calculation Constants'!$B$4*1000)))^2</f>
        <v>1.1458969193927592E-2</v>
      </c>
      <c r="AG58" s="19">
        <f t="shared" si="10"/>
        <v>1.274999100520025</v>
      </c>
      <c r="AH58" s="19">
        <f>IF($H58&gt;0,'Calculation Constants'!$B$9*Hydraulics!$K58^2/2/9.81/MAX($F$4:$F$253)*$H58,"")</f>
        <v>6.3421890311175441E-2</v>
      </c>
      <c r="AI58" s="19">
        <f t="shared" si="21"/>
        <v>1.3384209908312004</v>
      </c>
      <c r="AJ58" s="19">
        <f t="shared" si="11"/>
        <v>0</v>
      </c>
      <c r="AK58" s="19">
        <f t="shared" si="22"/>
        <v>56.170476403422413</v>
      </c>
      <c r="AL58" s="23">
        <f t="shared" si="12"/>
        <v>1052.7794764034224</v>
      </c>
      <c r="AM58" s="22">
        <f>(1/(2*LOG(3.7*($I58-0.008)/'Calculation Constants'!$B$5*1000)))^2</f>
        <v>1.4542845531075887E-2</v>
      </c>
      <c r="AN58" s="19">
        <f t="shared" si="23"/>
        <v>1.6249731396833385</v>
      </c>
      <c r="AO58" s="19">
        <f>IF($H58&gt;0,'Calculation Constants'!$B$9*Hydraulics!$K58^2/2/9.81/MAX($F$4:$F$253)*$H58,"")</f>
        <v>6.3421890311175441E-2</v>
      </c>
      <c r="AP58" s="19">
        <f t="shared" si="24"/>
        <v>1.6883950299945139</v>
      </c>
      <c r="AQ58" s="19">
        <f t="shared" si="13"/>
        <v>0</v>
      </c>
      <c r="AR58" s="19">
        <f t="shared" si="25"/>
        <v>40.771618680238475</v>
      </c>
      <c r="AS58" s="23">
        <f t="shared" si="14"/>
        <v>1037.3806186802385</v>
      </c>
    </row>
    <row r="59" spans="5:45">
      <c r="E59" s="35" t="str">
        <f t="shared" si="0"/>
        <v/>
      </c>
      <c r="F59" s="19">
        <f>'Profile data'!A59</f>
        <v>112</v>
      </c>
      <c r="G59" s="19">
        <f>VLOOKUP(F59,'Profile data'!A59:C318,IF($B$22="Botswana 1",2,3))</f>
        <v>992.99900000000002</v>
      </c>
      <c r="H59" s="19">
        <f t="shared" si="26"/>
        <v>2</v>
      </c>
      <c r="I59" s="19">
        <v>1.9</v>
      </c>
      <c r="J59" s="36">
        <f>'Flow Rate Calculations'!$B$7</f>
        <v>4.0831050228310497</v>
      </c>
      <c r="K59" s="36">
        <f t="shared" si="15"/>
        <v>1.440102709245225</v>
      </c>
      <c r="L59" s="37">
        <f>$I59*$K59/'Calculation Constants'!$B$7</f>
        <v>2421411.6350140949</v>
      </c>
      <c r="M59" s="37">
        <f t="shared" si="1"/>
        <v>118.67100000000005</v>
      </c>
      <c r="N59" s="23">
        <f t="shared" si="16"/>
        <v>72.406482071782648</v>
      </c>
      <c r="O59" s="55">
        <f t="shared" si="2"/>
        <v>118.67100000000005</v>
      </c>
      <c r="P59" s="64">
        <f>MAX(I59*1000/'Calculation Constants'!$B$14,O59*10*I59*1000/2/('Calculation Constants'!$B$12*1000*'Calculation Constants'!$B$13))</f>
        <v>11.875</v>
      </c>
      <c r="Q59" s="66">
        <f t="shared" si="3"/>
        <v>1105894.9783427313</v>
      </c>
      <c r="R59" s="27">
        <f>(1/(2*LOG(3.7*$I59/'Calculation Constants'!$B$2*1000)))^2</f>
        <v>8.6699836115820689E-3</v>
      </c>
      <c r="S59" s="19">
        <f t="shared" si="17"/>
        <v>0.96467850809376621</v>
      </c>
      <c r="T59" s="19">
        <f>IF($H59&gt;0,'Calculation Constants'!$B$9*Hydraulics!$K59^2/2/9.81/MAX($F$4:$F$253)*$H59,"")</f>
        <v>6.3421890311175441E-2</v>
      </c>
      <c r="U59" s="19">
        <f t="shared" si="18"/>
        <v>1.0281003984049417</v>
      </c>
      <c r="V59" s="19">
        <f t="shared" si="4"/>
        <v>0</v>
      </c>
      <c r="W59" s="19">
        <f t="shared" si="5"/>
        <v>72.406482071782648</v>
      </c>
      <c r="X59" s="23">
        <f t="shared" si="6"/>
        <v>1065.4054820717827</v>
      </c>
      <c r="Y59" s="22">
        <f>(1/(2*LOG(3.7*$I59/'Calculation Constants'!$B$3*1000)))^2</f>
        <v>9.7303620360708887E-3</v>
      </c>
      <c r="Z59" s="19">
        <f t="shared" si="7"/>
        <v>1.0826630767363397</v>
      </c>
      <c r="AA59" s="19">
        <f>IF($H59&gt;0,'Calculation Constants'!$B$9*Hydraulics!$K59^2/2/9.81/MAX($F$4:$F$253)*$H59,"")</f>
        <v>6.3421890311175441E-2</v>
      </c>
      <c r="AB59" s="19">
        <f t="shared" si="27"/>
        <v>1.1460849670475151</v>
      </c>
      <c r="AC59" s="19">
        <f t="shared" si="8"/>
        <v>0</v>
      </c>
      <c r="AD59" s="19">
        <f t="shared" si="20"/>
        <v>67.097176482862551</v>
      </c>
      <c r="AE59" s="23">
        <f t="shared" si="9"/>
        <v>1060.0961764828626</v>
      </c>
      <c r="AF59" s="27">
        <f>(1/(2*LOG(3.7*$I59/'Calculation Constants'!$B$4*1000)))^2</f>
        <v>1.1458969193927592E-2</v>
      </c>
      <c r="AG59" s="19">
        <f t="shared" si="10"/>
        <v>1.274999100520025</v>
      </c>
      <c r="AH59" s="19">
        <f>IF($H59&gt;0,'Calculation Constants'!$B$9*Hydraulics!$K59^2/2/9.81/MAX($F$4:$F$253)*$H59,"")</f>
        <v>6.3421890311175441E-2</v>
      </c>
      <c r="AI59" s="19">
        <f t="shared" si="21"/>
        <v>1.3384209908312004</v>
      </c>
      <c r="AJ59" s="19">
        <f t="shared" si="11"/>
        <v>0</v>
      </c>
      <c r="AK59" s="19">
        <f t="shared" si="22"/>
        <v>58.442055412591117</v>
      </c>
      <c r="AL59" s="23">
        <f t="shared" si="12"/>
        <v>1051.4410554125911</v>
      </c>
      <c r="AM59" s="22">
        <f>(1/(2*LOG(3.7*($I59-0.008)/'Calculation Constants'!$B$5*1000)))^2</f>
        <v>1.4542845531075887E-2</v>
      </c>
      <c r="AN59" s="19">
        <f t="shared" si="23"/>
        <v>1.6249731396833385</v>
      </c>
      <c r="AO59" s="19">
        <f>IF($H59&gt;0,'Calculation Constants'!$B$9*Hydraulics!$K59^2/2/9.81/MAX($F$4:$F$253)*$H59,"")</f>
        <v>6.3421890311175441E-2</v>
      </c>
      <c r="AP59" s="19">
        <f t="shared" si="24"/>
        <v>1.6883950299945139</v>
      </c>
      <c r="AQ59" s="19">
        <f t="shared" si="13"/>
        <v>0</v>
      </c>
      <c r="AR59" s="19">
        <f t="shared" si="25"/>
        <v>42.693223650243908</v>
      </c>
      <c r="AS59" s="23">
        <f t="shared" si="14"/>
        <v>1035.6922236502439</v>
      </c>
    </row>
    <row r="60" spans="5:45">
      <c r="E60" s="35" t="str">
        <f t="shared" si="0"/>
        <v/>
      </c>
      <c r="F60" s="19">
        <f>'Profile data'!A60</f>
        <v>114</v>
      </c>
      <c r="G60" s="19">
        <f>VLOOKUP(F60,'Profile data'!A60:C319,IF($B$22="Botswana 1",2,3))</f>
        <v>993.63900000000001</v>
      </c>
      <c r="H60" s="19">
        <f t="shared" si="26"/>
        <v>2</v>
      </c>
      <c r="I60" s="19">
        <v>1.9</v>
      </c>
      <c r="J60" s="36">
        <f>'Flow Rate Calculations'!$B$7</f>
        <v>4.0831050228310497</v>
      </c>
      <c r="K60" s="36">
        <f t="shared" si="15"/>
        <v>1.440102709245225</v>
      </c>
      <c r="L60" s="37">
        <f>$I60*$K60/'Calculation Constants'!$B$7</f>
        <v>2421411.6350140949</v>
      </c>
      <c r="M60" s="37">
        <f t="shared" si="1"/>
        <v>118.03100000000006</v>
      </c>
      <c r="N60" s="23">
        <f t="shared" si="16"/>
        <v>70.73838167337783</v>
      </c>
      <c r="O60" s="55">
        <f t="shared" si="2"/>
        <v>118.03100000000006</v>
      </c>
      <c r="P60" s="64">
        <f>MAX(I60*1000/'Calculation Constants'!$B$14,O60*10*I60*1000/2/('Calculation Constants'!$B$12*1000*'Calculation Constants'!$B$13))</f>
        <v>11.875</v>
      </c>
      <c r="Q60" s="66">
        <f t="shared" si="3"/>
        <v>1105894.9783427313</v>
      </c>
      <c r="R60" s="27">
        <f>(1/(2*LOG(3.7*$I60/'Calculation Constants'!$B$2*1000)))^2</f>
        <v>8.6699836115820689E-3</v>
      </c>
      <c r="S60" s="19">
        <f t="shared" si="17"/>
        <v>0.96467850809376621</v>
      </c>
      <c r="T60" s="19">
        <f>IF($H60&gt;0,'Calculation Constants'!$B$9*Hydraulics!$K60^2/2/9.81/MAX($F$4:$F$253)*$H60,"")</f>
        <v>6.3421890311175441E-2</v>
      </c>
      <c r="U60" s="19">
        <f t="shared" si="18"/>
        <v>1.0281003984049417</v>
      </c>
      <c r="V60" s="19">
        <f t="shared" si="4"/>
        <v>0</v>
      </c>
      <c r="W60" s="19">
        <f t="shared" si="5"/>
        <v>70.73838167337783</v>
      </c>
      <c r="X60" s="23">
        <f t="shared" si="6"/>
        <v>1064.3773816733778</v>
      </c>
      <c r="Y60" s="22">
        <f>(1/(2*LOG(3.7*$I60/'Calculation Constants'!$B$3*1000)))^2</f>
        <v>9.7303620360708887E-3</v>
      </c>
      <c r="Z60" s="19">
        <f t="shared" si="7"/>
        <v>1.0826630767363397</v>
      </c>
      <c r="AA60" s="19">
        <f>IF($H60&gt;0,'Calculation Constants'!$B$9*Hydraulics!$K60^2/2/9.81/MAX($F$4:$F$253)*$H60,"")</f>
        <v>6.3421890311175441E-2</v>
      </c>
      <c r="AB60" s="19">
        <f t="shared" si="27"/>
        <v>1.1460849670475151</v>
      </c>
      <c r="AC60" s="19">
        <f t="shared" si="8"/>
        <v>0</v>
      </c>
      <c r="AD60" s="19">
        <f t="shared" si="20"/>
        <v>65.311091515815065</v>
      </c>
      <c r="AE60" s="23">
        <f t="shared" si="9"/>
        <v>1058.9500915158151</v>
      </c>
      <c r="AF60" s="27">
        <f>(1/(2*LOG(3.7*$I60/'Calculation Constants'!$B$4*1000)))^2</f>
        <v>1.1458969193927592E-2</v>
      </c>
      <c r="AG60" s="19">
        <f t="shared" si="10"/>
        <v>1.274999100520025</v>
      </c>
      <c r="AH60" s="19">
        <f>IF($H60&gt;0,'Calculation Constants'!$B$9*Hydraulics!$K60^2/2/9.81/MAX($F$4:$F$253)*$H60,"")</f>
        <v>6.3421890311175441E-2</v>
      </c>
      <c r="AI60" s="19">
        <f t="shared" si="21"/>
        <v>1.3384209908312004</v>
      </c>
      <c r="AJ60" s="19">
        <f t="shared" si="11"/>
        <v>0</v>
      </c>
      <c r="AK60" s="19">
        <f t="shared" si="22"/>
        <v>56.463634421759821</v>
      </c>
      <c r="AL60" s="23">
        <f t="shared" si="12"/>
        <v>1050.1026344217598</v>
      </c>
      <c r="AM60" s="22">
        <f>(1/(2*LOG(3.7*($I60-0.008)/'Calculation Constants'!$B$5*1000)))^2</f>
        <v>1.4542845531075887E-2</v>
      </c>
      <c r="AN60" s="19">
        <f t="shared" si="23"/>
        <v>1.6249731396833385</v>
      </c>
      <c r="AO60" s="19">
        <f>IF($H60&gt;0,'Calculation Constants'!$B$9*Hydraulics!$K60^2/2/9.81/MAX($F$4:$F$253)*$H60,"")</f>
        <v>6.3421890311175441E-2</v>
      </c>
      <c r="AP60" s="19">
        <f t="shared" si="24"/>
        <v>1.6883950299945139</v>
      </c>
      <c r="AQ60" s="19">
        <f t="shared" si="13"/>
        <v>0</v>
      </c>
      <c r="AR60" s="19">
        <f t="shared" si="25"/>
        <v>40.364828620249341</v>
      </c>
      <c r="AS60" s="23">
        <f t="shared" si="14"/>
        <v>1034.0038286202494</v>
      </c>
    </row>
    <row r="61" spans="5:45">
      <c r="E61" s="35" t="str">
        <f t="shared" si="0"/>
        <v/>
      </c>
      <c r="F61" s="19">
        <f>'Profile data'!A61</f>
        <v>116</v>
      </c>
      <c r="G61" s="19">
        <f>VLOOKUP(F61,'Profile data'!A61:C320,IF($B$22="Botswana 1",2,3))</f>
        <v>994.61099999999999</v>
      </c>
      <c r="H61" s="19">
        <f t="shared" si="26"/>
        <v>2</v>
      </c>
      <c r="I61" s="19">
        <v>1.9</v>
      </c>
      <c r="J61" s="36">
        <f>'Flow Rate Calculations'!$B$7</f>
        <v>4.0831050228310497</v>
      </c>
      <c r="K61" s="36">
        <f t="shared" si="15"/>
        <v>1.440102709245225</v>
      </c>
      <c r="L61" s="37">
        <f>$I61*$K61/'Calculation Constants'!$B$7</f>
        <v>2421411.6350140949</v>
      </c>
      <c r="M61" s="37">
        <f t="shared" si="1"/>
        <v>117.05900000000008</v>
      </c>
      <c r="N61" s="23">
        <f t="shared" si="16"/>
        <v>68.738281274973019</v>
      </c>
      <c r="O61" s="55">
        <f t="shared" si="2"/>
        <v>117.05900000000008</v>
      </c>
      <c r="P61" s="64">
        <f>MAX(I61*1000/'Calculation Constants'!$B$14,O61*10*I61*1000/2/('Calculation Constants'!$B$12*1000*'Calculation Constants'!$B$13))</f>
        <v>11.875</v>
      </c>
      <c r="Q61" s="66">
        <f t="shared" si="3"/>
        <v>1105894.9783427313</v>
      </c>
      <c r="R61" s="27">
        <f>(1/(2*LOG(3.7*$I61/'Calculation Constants'!$B$2*1000)))^2</f>
        <v>8.6699836115820689E-3</v>
      </c>
      <c r="S61" s="19">
        <f t="shared" si="17"/>
        <v>0.96467850809376621</v>
      </c>
      <c r="T61" s="19">
        <f>IF($H61&gt;0,'Calculation Constants'!$B$9*Hydraulics!$K61^2/2/9.81/MAX($F$4:$F$253)*$H61,"")</f>
        <v>6.3421890311175441E-2</v>
      </c>
      <c r="U61" s="19">
        <f t="shared" si="18"/>
        <v>1.0281003984049417</v>
      </c>
      <c r="V61" s="19">
        <f t="shared" si="4"/>
        <v>0</v>
      </c>
      <c r="W61" s="19">
        <f t="shared" si="5"/>
        <v>68.738281274973019</v>
      </c>
      <c r="X61" s="23">
        <f t="shared" si="6"/>
        <v>1063.349281274973</v>
      </c>
      <c r="Y61" s="22">
        <f>(1/(2*LOG(3.7*$I61/'Calculation Constants'!$B$3*1000)))^2</f>
        <v>9.7303620360708887E-3</v>
      </c>
      <c r="Z61" s="19">
        <f t="shared" si="7"/>
        <v>1.0826630767363397</v>
      </c>
      <c r="AA61" s="19">
        <f>IF($H61&gt;0,'Calculation Constants'!$B$9*Hydraulics!$K61^2/2/9.81/MAX($F$4:$F$253)*$H61,"")</f>
        <v>6.3421890311175441E-2</v>
      </c>
      <c r="AB61" s="19">
        <f t="shared" si="27"/>
        <v>1.1460849670475151</v>
      </c>
      <c r="AC61" s="19">
        <f t="shared" si="8"/>
        <v>0</v>
      </c>
      <c r="AD61" s="19">
        <f t="shared" si="20"/>
        <v>63.193006548767585</v>
      </c>
      <c r="AE61" s="23">
        <f t="shared" si="9"/>
        <v>1057.8040065487676</v>
      </c>
      <c r="AF61" s="27">
        <f>(1/(2*LOG(3.7*$I61/'Calculation Constants'!$B$4*1000)))^2</f>
        <v>1.1458969193927592E-2</v>
      </c>
      <c r="AG61" s="19">
        <f t="shared" si="10"/>
        <v>1.274999100520025</v>
      </c>
      <c r="AH61" s="19">
        <f>IF($H61&gt;0,'Calculation Constants'!$B$9*Hydraulics!$K61^2/2/9.81/MAX($F$4:$F$253)*$H61,"")</f>
        <v>6.3421890311175441E-2</v>
      </c>
      <c r="AI61" s="19">
        <f t="shared" si="21"/>
        <v>1.3384209908312004</v>
      </c>
      <c r="AJ61" s="19">
        <f t="shared" si="11"/>
        <v>0</v>
      </c>
      <c r="AK61" s="19">
        <f t="shared" si="22"/>
        <v>54.153213430928531</v>
      </c>
      <c r="AL61" s="23">
        <f t="shared" si="12"/>
        <v>1048.7642134309285</v>
      </c>
      <c r="AM61" s="22">
        <f>(1/(2*LOG(3.7*($I61-0.008)/'Calculation Constants'!$B$5*1000)))^2</f>
        <v>1.4542845531075887E-2</v>
      </c>
      <c r="AN61" s="19">
        <f t="shared" si="23"/>
        <v>1.6249731396833385</v>
      </c>
      <c r="AO61" s="19">
        <f>IF($H61&gt;0,'Calculation Constants'!$B$9*Hydraulics!$K61^2/2/9.81/MAX($F$4:$F$253)*$H61,"")</f>
        <v>6.3421890311175441E-2</v>
      </c>
      <c r="AP61" s="19">
        <f t="shared" si="24"/>
        <v>1.6883950299945139</v>
      </c>
      <c r="AQ61" s="19">
        <f t="shared" si="13"/>
        <v>0</v>
      </c>
      <c r="AR61" s="19">
        <f t="shared" si="25"/>
        <v>37.70443359025478</v>
      </c>
      <c r="AS61" s="23">
        <f t="shared" si="14"/>
        <v>1032.3154335902548</v>
      </c>
    </row>
    <row r="62" spans="5:45">
      <c r="E62" s="35" t="str">
        <f t="shared" si="0"/>
        <v/>
      </c>
      <c r="F62" s="19">
        <f>'Profile data'!A62</f>
        <v>118</v>
      </c>
      <c r="G62" s="19">
        <f>VLOOKUP(F62,'Profile data'!A62:C321,IF($B$22="Botswana 1",2,3))</f>
        <v>995.75099999999998</v>
      </c>
      <c r="H62" s="19">
        <f t="shared" si="26"/>
        <v>2</v>
      </c>
      <c r="I62" s="19">
        <v>1.9</v>
      </c>
      <c r="J62" s="36">
        <f>'Flow Rate Calculations'!$B$7</f>
        <v>4.0831050228310497</v>
      </c>
      <c r="K62" s="36">
        <f t="shared" si="15"/>
        <v>1.440102709245225</v>
      </c>
      <c r="L62" s="37">
        <f>$I62*$K62/'Calculation Constants'!$B$7</f>
        <v>2421411.6350140949</v>
      </c>
      <c r="M62" s="37">
        <f t="shared" si="1"/>
        <v>115.9190000000001</v>
      </c>
      <c r="N62" s="23">
        <f t="shared" si="16"/>
        <v>66.570180876568202</v>
      </c>
      <c r="O62" s="55">
        <f t="shared" si="2"/>
        <v>115.9190000000001</v>
      </c>
      <c r="P62" s="64">
        <f>MAX(I62*1000/'Calculation Constants'!$B$14,O62*10*I62*1000/2/('Calculation Constants'!$B$12*1000*'Calculation Constants'!$B$13))</f>
        <v>11.875</v>
      </c>
      <c r="Q62" s="66">
        <f t="shared" si="3"/>
        <v>1105894.9783427313</v>
      </c>
      <c r="R62" s="27">
        <f>(1/(2*LOG(3.7*$I62/'Calculation Constants'!$B$2*1000)))^2</f>
        <v>8.6699836115820689E-3</v>
      </c>
      <c r="S62" s="19">
        <f t="shared" si="17"/>
        <v>0.96467850809376621</v>
      </c>
      <c r="T62" s="19">
        <f>IF($H62&gt;0,'Calculation Constants'!$B$9*Hydraulics!$K62^2/2/9.81/MAX($F$4:$F$253)*$H62,"")</f>
        <v>6.3421890311175441E-2</v>
      </c>
      <c r="U62" s="19">
        <f t="shared" si="18"/>
        <v>1.0281003984049417</v>
      </c>
      <c r="V62" s="19">
        <f t="shared" si="4"/>
        <v>0</v>
      </c>
      <c r="W62" s="19">
        <f t="shared" si="5"/>
        <v>66.570180876568202</v>
      </c>
      <c r="X62" s="23">
        <f t="shared" si="6"/>
        <v>1062.3211808765682</v>
      </c>
      <c r="Y62" s="22">
        <f>(1/(2*LOG(3.7*$I62/'Calculation Constants'!$B$3*1000)))^2</f>
        <v>9.7303620360708887E-3</v>
      </c>
      <c r="Z62" s="19">
        <f t="shared" si="7"/>
        <v>1.0826630767363397</v>
      </c>
      <c r="AA62" s="19">
        <f>IF($H62&gt;0,'Calculation Constants'!$B$9*Hydraulics!$K62^2/2/9.81/MAX($F$4:$F$253)*$H62,"")</f>
        <v>6.3421890311175441E-2</v>
      </c>
      <c r="AB62" s="19">
        <f t="shared" si="27"/>
        <v>1.1460849670475151</v>
      </c>
      <c r="AC62" s="19">
        <f t="shared" si="8"/>
        <v>0</v>
      </c>
      <c r="AD62" s="19">
        <f t="shared" si="20"/>
        <v>60.906921581720098</v>
      </c>
      <c r="AE62" s="23">
        <f t="shared" si="9"/>
        <v>1056.6579215817201</v>
      </c>
      <c r="AF62" s="27">
        <f>(1/(2*LOG(3.7*$I62/'Calculation Constants'!$B$4*1000)))^2</f>
        <v>1.1458969193927592E-2</v>
      </c>
      <c r="AG62" s="19">
        <f t="shared" si="10"/>
        <v>1.274999100520025</v>
      </c>
      <c r="AH62" s="19">
        <f>IF($H62&gt;0,'Calculation Constants'!$B$9*Hydraulics!$K62^2/2/9.81/MAX($F$4:$F$253)*$H62,"")</f>
        <v>6.3421890311175441E-2</v>
      </c>
      <c r="AI62" s="19">
        <f t="shared" si="21"/>
        <v>1.3384209908312004</v>
      </c>
      <c r="AJ62" s="19">
        <f t="shared" si="11"/>
        <v>0</v>
      </c>
      <c r="AK62" s="19">
        <f t="shared" si="22"/>
        <v>51.674792440097235</v>
      </c>
      <c r="AL62" s="23">
        <f t="shared" si="12"/>
        <v>1047.4257924400972</v>
      </c>
      <c r="AM62" s="22">
        <f>(1/(2*LOG(3.7*($I62-0.008)/'Calculation Constants'!$B$5*1000)))^2</f>
        <v>1.4542845531075887E-2</v>
      </c>
      <c r="AN62" s="19">
        <f t="shared" si="23"/>
        <v>1.6249731396833385</v>
      </c>
      <c r="AO62" s="19">
        <f>IF($H62&gt;0,'Calculation Constants'!$B$9*Hydraulics!$K62^2/2/9.81/MAX($F$4:$F$253)*$H62,"")</f>
        <v>6.3421890311175441E-2</v>
      </c>
      <c r="AP62" s="19">
        <f t="shared" si="24"/>
        <v>1.6883950299945139</v>
      </c>
      <c r="AQ62" s="19">
        <f t="shared" si="13"/>
        <v>0</v>
      </c>
      <c r="AR62" s="19">
        <f t="shared" si="25"/>
        <v>34.876038560260213</v>
      </c>
      <c r="AS62" s="23">
        <f t="shared" si="14"/>
        <v>1030.6270385602602</v>
      </c>
    </row>
    <row r="63" spans="5:45">
      <c r="E63" s="35" t="str">
        <f t="shared" si="0"/>
        <v/>
      </c>
      <c r="F63" s="19">
        <f>'Profile data'!A63</f>
        <v>120</v>
      </c>
      <c r="G63" s="19">
        <f>VLOOKUP(F63,'Profile data'!A63:C322,IF($B$22="Botswana 1",2,3))</f>
        <v>996.47900000000004</v>
      </c>
      <c r="H63" s="19">
        <f t="shared" si="26"/>
        <v>2</v>
      </c>
      <c r="I63" s="19">
        <v>1.9</v>
      </c>
      <c r="J63" s="36">
        <f>'Flow Rate Calculations'!$B$7</f>
        <v>4.0831050228310497</v>
      </c>
      <c r="K63" s="36">
        <f t="shared" si="15"/>
        <v>1.440102709245225</v>
      </c>
      <c r="L63" s="37">
        <f>$I63*$K63/'Calculation Constants'!$B$7</f>
        <v>2421411.6350140949</v>
      </c>
      <c r="M63" s="37">
        <f t="shared" si="1"/>
        <v>115.19100000000003</v>
      </c>
      <c r="N63" s="23">
        <f t="shared" si="16"/>
        <v>64.814080478163305</v>
      </c>
      <c r="O63" s="55">
        <f t="shared" si="2"/>
        <v>115.19100000000003</v>
      </c>
      <c r="P63" s="64">
        <f>MAX(I63*1000/'Calculation Constants'!$B$14,O63*10*I63*1000/2/('Calculation Constants'!$B$12*1000*'Calculation Constants'!$B$13))</f>
        <v>11.875</v>
      </c>
      <c r="Q63" s="66">
        <f t="shared" si="3"/>
        <v>1105894.9783427313</v>
      </c>
      <c r="R63" s="27">
        <f>(1/(2*LOG(3.7*$I63/'Calculation Constants'!$B$2*1000)))^2</f>
        <v>8.6699836115820689E-3</v>
      </c>
      <c r="S63" s="19">
        <f t="shared" si="17"/>
        <v>0.96467850809376621</v>
      </c>
      <c r="T63" s="19">
        <f>IF($H63&gt;0,'Calculation Constants'!$B$9*Hydraulics!$K63^2/2/9.81/MAX($F$4:$F$253)*$H63,"")</f>
        <v>6.3421890311175441E-2</v>
      </c>
      <c r="U63" s="19">
        <f t="shared" si="18"/>
        <v>1.0281003984049417</v>
      </c>
      <c r="V63" s="19">
        <f t="shared" si="4"/>
        <v>0</v>
      </c>
      <c r="W63" s="19">
        <f t="shared" si="5"/>
        <v>64.814080478163305</v>
      </c>
      <c r="X63" s="23">
        <f t="shared" si="6"/>
        <v>1061.2930804781633</v>
      </c>
      <c r="Y63" s="22">
        <f>(1/(2*LOG(3.7*$I63/'Calculation Constants'!$B$3*1000)))^2</f>
        <v>9.7303620360708887E-3</v>
      </c>
      <c r="Z63" s="19">
        <f t="shared" si="7"/>
        <v>1.0826630767363397</v>
      </c>
      <c r="AA63" s="19">
        <f>IF($H63&gt;0,'Calculation Constants'!$B$9*Hydraulics!$K63^2/2/9.81/MAX($F$4:$F$253)*$H63,"")</f>
        <v>6.3421890311175441E-2</v>
      </c>
      <c r="AB63" s="19">
        <f t="shared" si="27"/>
        <v>1.1460849670475151</v>
      </c>
      <c r="AC63" s="19">
        <f t="shared" si="8"/>
        <v>0</v>
      </c>
      <c r="AD63" s="19">
        <f t="shared" si="20"/>
        <v>59.032836614672533</v>
      </c>
      <c r="AE63" s="23">
        <f t="shared" si="9"/>
        <v>1055.5118366146726</v>
      </c>
      <c r="AF63" s="27">
        <f>(1/(2*LOG(3.7*$I63/'Calculation Constants'!$B$4*1000)))^2</f>
        <v>1.1458969193927592E-2</v>
      </c>
      <c r="AG63" s="19">
        <f t="shared" si="10"/>
        <v>1.274999100520025</v>
      </c>
      <c r="AH63" s="19">
        <f>IF($H63&gt;0,'Calculation Constants'!$B$9*Hydraulics!$K63^2/2/9.81/MAX($F$4:$F$253)*$H63,"")</f>
        <v>6.3421890311175441E-2</v>
      </c>
      <c r="AI63" s="19">
        <f t="shared" si="21"/>
        <v>1.3384209908312004</v>
      </c>
      <c r="AJ63" s="19">
        <f t="shared" si="11"/>
        <v>0</v>
      </c>
      <c r="AK63" s="19">
        <f t="shared" si="22"/>
        <v>49.60837144926586</v>
      </c>
      <c r="AL63" s="23">
        <f t="shared" si="12"/>
        <v>1046.0873714492659</v>
      </c>
      <c r="AM63" s="22">
        <f>(1/(2*LOG(3.7*($I63-0.008)/'Calculation Constants'!$B$5*1000)))^2</f>
        <v>1.4542845531075887E-2</v>
      </c>
      <c r="AN63" s="19">
        <f t="shared" si="23"/>
        <v>1.6249731396833385</v>
      </c>
      <c r="AO63" s="19">
        <f>IF($H63&gt;0,'Calculation Constants'!$B$9*Hydraulics!$K63^2/2/9.81/MAX($F$4:$F$253)*$H63,"")</f>
        <v>6.3421890311175441E-2</v>
      </c>
      <c r="AP63" s="19">
        <f t="shared" si="24"/>
        <v>1.6883950299945139</v>
      </c>
      <c r="AQ63" s="19">
        <f t="shared" si="13"/>
        <v>0</v>
      </c>
      <c r="AR63" s="19">
        <f t="shared" si="25"/>
        <v>32.459643530265566</v>
      </c>
      <c r="AS63" s="23">
        <f t="shared" si="14"/>
        <v>1028.9386435302656</v>
      </c>
    </row>
    <row r="64" spans="5:45">
      <c r="E64" s="35" t="str">
        <f t="shared" si="0"/>
        <v/>
      </c>
      <c r="F64" s="19">
        <f>'Profile data'!A64</f>
        <v>122</v>
      </c>
      <c r="G64" s="19">
        <f>VLOOKUP(F64,'Profile data'!A64:C323,IF($B$22="Botswana 1",2,3))</f>
        <v>996.14700000000005</v>
      </c>
      <c r="H64" s="19">
        <f t="shared" si="26"/>
        <v>2</v>
      </c>
      <c r="I64" s="19">
        <v>1.9</v>
      </c>
      <c r="J64" s="36">
        <f>'Flow Rate Calculations'!$B$7</f>
        <v>4.0831050228310497</v>
      </c>
      <c r="K64" s="36">
        <f t="shared" si="15"/>
        <v>1.440102709245225</v>
      </c>
      <c r="L64" s="37">
        <f>$I64*$K64/'Calculation Constants'!$B$7</f>
        <v>2421411.6350140949</v>
      </c>
      <c r="M64" s="37">
        <f t="shared" si="1"/>
        <v>115.52300000000002</v>
      </c>
      <c r="N64" s="23">
        <f t="shared" si="16"/>
        <v>64.117980079758468</v>
      </c>
      <c r="O64" s="55">
        <f t="shared" si="2"/>
        <v>115.52300000000002</v>
      </c>
      <c r="P64" s="64">
        <f>MAX(I64*1000/'Calculation Constants'!$B$14,O64*10*I64*1000/2/('Calculation Constants'!$B$12*1000*'Calculation Constants'!$B$13))</f>
        <v>11.875</v>
      </c>
      <c r="Q64" s="66">
        <f t="shared" si="3"/>
        <v>1105894.9783427313</v>
      </c>
      <c r="R64" s="27">
        <f>(1/(2*LOG(3.7*$I64/'Calculation Constants'!$B$2*1000)))^2</f>
        <v>8.6699836115820689E-3</v>
      </c>
      <c r="S64" s="19">
        <f t="shared" si="17"/>
        <v>0.96467850809376621</v>
      </c>
      <c r="T64" s="19">
        <f>IF($H64&gt;0,'Calculation Constants'!$B$9*Hydraulics!$K64^2/2/9.81/MAX($F$4:$F$253)*$H64,"")</f>
        <v>6.3421890311175441E-2</v>
      </c>
      <c r="U64" s="19">
        <f t="shared" si="18"/>
        <v>1.0281003984049417</v>
      </c>
      <c r="V64" s="19">
        <f t="shared" si="4"/>
        <v>0</v>
      </c>
      <c r="W64" s="19">
        <f t="shared" si="5"/>
        <v>64.117980079758468</v>
      </c>
      <c r="X64" s="23">
        <f t="shared" si="6"/>
        <v>1060.2649800797585</v>
      </c>
      <c r="Y64" s="22">
        <f>(1/(2*LOG(3.7*$I64/'Calculation Constants'!$B$3*1000)))^2</f>
        <v>9.7303620360708887E-3</v>
      </c>
      <c r="Z64" s="19">
        <f t="shared" si="7"/>
        <v>1.0826630767363397</v>
      </c>
      <c r="AA64" s="19">
        <f>IF($H64&gt;0,'Calculation Constants'!$B$9*Hydraulics!$K64^2/2/9.81/MAX($F$4:$F$253)*$H64,"")</f>
        <v>6.3421890311175441E-2</v>
      </c>
      <c r="AB64" s="19">
        <f t="shared" si="27"/>
        <v>1.1460849670475151</v>
      </c>
      <c r="AC64" s="19">
        <f t="shared" si="8"/>
        <v>0</v>
      </c>
      <c r="AD64" s="19">
        <f t="shared" si="20"/>
        <v>58.218751647625027</v>
      </c>
      <c r="AE64" s="23">
        <f t="shared" si="9"/>
        <v>1054.3657516476251</v>
      </c>
      <c r="AF64" s="27">
        <f>(1/(2*LOG(3.7*$I64/'Calculation Constants'!$B$4*1000)))^2</f>
        <v>1.1458969193927592E-2</v>
      </c>
      <c r="AG64" s="19">
        <f t="shared" si="10"/>
        <v>1.274999100520025</v>
      </c>
      <c r="AH64" s="19">
        <f>IF($H64&gt;0,'Calculation Constants'!$B$9*Hydraulics!$K64^2/2/9.81/MAX($F$4:$F$253)*$H64,"")</f>
        <v>6.3421890311175441E-2</v>
      </c>
      <c r="AI64" s="19">
        <f t="shared" si="21"/>
        <v>1.3384209908312004</v>
      </c>
      <c r="AJ64" s="19">
        <f t="shared" si="11"/>
        <v>0</v>
      </c>
      <c r="AK64" s="19">
        <f t="shared" si="22"/>
        <v>48.601950458434544</v>
      </c>
      <c r="AL64" s="23">
        <f t="shared" si="12"/>
        <v>1044.7489504584346</v>
      </c>
      <c r="AM64" s="22">
        <f>(1/(2*LOG(3.7*($I64-0.008)/'Calculation Constants'!$B$5*1000)))^2</f>
        <v>1.4542845531075887E-2</v>
      </c>
      <c r="AN64" s="19">
        <f t="shared" si="23"/>
        <v>1.6249731396833385</v>
      </c>
      <c r="AO64" s="19">
        <f>IF($H64&gt;0,'Calculation Constants'!$B$9*Hydraulics!$K64^2/2/9.81/MAX($F$4:$F$253)*$H64,"")</f>
        <v>6.3421890311175441E-2</v>
      </c>
      <c r="AP64" s="19">
        <f t="shared" si="24"/>
        <v>1.6883950299945139</v>
      </c>
      <c r="AQ64" s="19">
        <f t="shared" si="13"/>
        <v>0</v>
      </c>
      <c r="AR64" s="19">
        <f t="shared" si="25"/>
        <v>31.103248500270979</v>
      </c>
      <c r="AS64" s="23">
        <f t="shared" si="14"/>
        <v>1027.250248500271</v>
      </c>
    </row>
    <row r="65" spans="5:45">
      <c r="E65" s="35" t="str">
        <f t="shared" si="0"/>
        <v/>
      </c>
      <c r="F65" s="19">
        <f>'Profile data'!A65</f>
        <v>124</v>
      </c>
      <c r="G65" s="19">
        <f>VLOOKUP(F65,'Profile data'!A65:C324,IF($B$22="Botswana 1",2,3))</f>
        <v>992.09400000000005</v>
      </c>
      <c r="H65" s="19">
        <f t="shared" si="26"/>
        <v>2</v>
      </c>
      <c r="I65" s="19">
        <v>1.9</v>
      </c>
      <c r="J65" s="36">
        <f>'Flow Rate Calculations'!$B$7</f>
        <v>4.0831050228310497</v>
      </c>
      <c r="K65" s="36">
        <f t="shared" si="15"/>
        <v>1.440102709245225</v>
      </c>
      <c r="L65" s="37">
        <f>$I65*$K65/'Calculation Constants'!$B$7</f>
        <v>2421411.6350140949</v>
      </c>
      <c r="M65" s="37">
        <f t="shared" si="1"/>
        <v>119.57600000000002</v>
      </c>
      <c r="N65" s="23">
        <f t="shared" si="16"/>
        <v>67.142879681353634</v>
      </c>
      <c r="O65" s="55">
        <f t="shared" si="2"/>
        <v>119.57600000000002</v>
      </c>
      <c r="P65" s="64">
        <f>MAX(I65*1000/'Calculation Constants'!$B$14,O65*10*I65*1000/2/('Calculation Constants'!$B$12*1000*'Calculation Constants'!$B$13))</f>
        <v>11.875</v>
      </c>
      <c r="Q65" s="66">
        <f t="shared" si="3"/>
        <v>1105894.9783427313</v>
      </c>
      <c r="R65" s="27">
        <f>(1/(2*LOG(3.7*$I65/'Calculation Constants'!$B$2*1000)))^2</f>
        <v>8.6699836115820689E-3</v>
      </c>
      <c r="S65" s="19">
        <f t="shared" si="17"/>
        <v>0.96467850809376621</v>
      </c>
      <c r="T65" s="19">
        <f>IF($H65&gt;0,'Calculation Constants'!$B$9*Hydraulics!$K65^2/2/9.81/MAX($F$4:$F$253)*$H65,"")</f>
        <v>6.3421890311175441E-2</v>
      </c>
      <c r="U65" s="19">
        <f t="shared" si="18"/>
        <v>1.0281003984049417</v>
      </c>
      <c r="V65" s="19">
        <f t="shared" si="4"/>
        <v>0</v>
      </c>
      <c r="W65" s="19">
        <f t="shared" si="5"/>
        <v>67.142879681353634</v>
      </c>
      <c r="X65" s="23">
        <f t="shared" si="6"/>
        <v>1059.2368796813537</v>
      </c>
      <c r="Y65" s="22">
        <f>(1/(2*LOG(3.7*$I65/'Calculation Constants'!$B$3*1000)))^2</f>
        <v>9.7303620360708887E-3</v>
      </c>
      <c r="Z65" s="19">
        <f t="shared" si="7"/>
        <v>1.0826630767363397</v>
      </c>
      <c r="AA65" s="19">
        <f>IF($H65&gt;0,'Calculation Constants'!$B$9*Hydraulics!$K65^2/2/9.81/MAX($F$4:$F$253)*$H65,"")</f>
        <v>6.3421890311175441E-2</v>
      </c>
      <c r="AB65" s="19">
        <f t="shared" si="27"/>
        <v>1.1460849670475151</v>
      </c>
      <c r="AC65" s="19">
        <f t="shared" si="8"/>
        <v>0</v>
      </c>
      <c r="AD65" s="19">
        <f t="shared" si="20"/>
        <v>61.125666680577524</v>
      </c>
      <c r="AE65" s="23">
        <f t="shared" si="9"/>
        <v>1053.2196666805776</v>
      </c>
      <c r="AF65" s="27">
        <f>(1/(2*LOG(3.7*$I65/'Calculation Constants'!$B$4*1000)))^2</f>
        <v>1.1458969193927592E-2</v>
      </c>
      <c r="AG65" s="19">
        <f t="shared" si="10"/>
        <v>1.274999100520025</v>
      </c>
      <c r="AH65" s="19">
        <f>IF($H65&gt;0,'Calculation Constants'!$B$9*Hydraulics!$K65^2/2/9.81/MAX($F$4:$F$253)*$H65,"")</f>
        <v>6.3421890311175441E-2</v>
      </c>
      <c r="AI65" s="19">
        <f t="shared" si="21"/>
        <v>1.3384209908312004</v>
      </c>
      <c r="AJ65" s="19">
        <f t="shared" si="11"/>
        <v>0</v>
      </c>
      <c r="AK65" s="19">
        <f t="shared" si="22"/>
        <v>51.316529467603232</v>
      </c>
      <c r="AL65" s="23">
        <f t="shared" si="12"/>
        <v>1043.4105294676033</v>
      </c>
      <c r="AM65" s="22">
        <f>(1/(2*LOG(3.7*($I65-0.008)/'Calculation Constants'!$B$5*1000)))^2</f>
        <v>1.4542845531075887E-2</v>
      </c>
      <c r="AN65" s="19">
        <f t="shared" si="23"/>
        <v>1.6249731396833385</v>
      </c>
      <c r="AO65" s="19">
        <f>IF($H65&gt;0,'Calculation Constants'!$B$9*Hydraulics!$K65^2/2/9.81/MAX($F$4:$F$253)*$H65,"")</f>
        <v>6.3421890311175441E-2</v>
      </c>
      <c r="AP65" s="19">
        <f t="shared" si="24"/>
        <v>1.6883950299945139</v>
      </c>
      <c r="AQ65" s="19">
        <f t="shared" si="13"/>
        <v>0</v>
      </c>
      <c r="AR65" s="19">
        <f t="shared" si="25"/>
        <v>33.467853470276395</v>
      </c>
      <c r="AS65" s="23">
        <f t="shared" si="14"/>
        <v>1025.5618534702764</v>
      </c>
    </row>
    <row r="66" spans="5:45">
      <c r="E66" s="35" t="str">
        <f t="shared" si="0"/>
        <v/>
      </c>
      <c r="F66" s="19">
        <f>'Profile data'!A66</f>
        <v>126</v>
      </c>
      <c r="G66" s="19">
        <f>VLOOKUP(F66,'Profile data'!A66:C325,IF($B$22="Botswana 1",2,3))</f>
        <v>985.62300000000005</v>
      </c>
      <c r="H66" s="19">
        <f t="shared" si="26"/>
        <v>2</v>
      </c>
      <c r="I66" s="19">
        <v>1.9</v>
      </c>
      <c r="J66" s="36">
        <f>'Flow Rate Calculations'!$B$7</f>
        <v>4.0831050228310497</v>
      </c>
      <c r="K66" s="36">
        <f t="shared" si="15"/>
        <v>1.440102709245225</v>
      </c>
      <c r="L66" s="37">
        <f>$I66*$K66/'Calculation Constants'!$B$7</f>
        <v>2421411.6350140949</v>
      </c>
      <c r="M66" s="37">
        <f t="shared" si="1"/>
        <v>126.04700000000003</v>
      </c>
      <c r="N66" s="23">
        <f t="shared" si="16"/>
        <v>72.585779282948806</v>
      </c>
      <c r="O66" s="55">
        <f t="shared" si="2"/>
        <v>126.04700000000003</v>
      </c>
      <c r="P66" s="64">
        <f>MAX(I66*1000/'Calculation Constants'!$B$14,O66*10*I66*1000/2/('Calculation Constants'!$B$12*1000*'Calculation Constants'!$B$13))</f>
        <v>11.875</v>
      </c>
      <c r="Q66" s="66">
        <f t="shared" si="3"/>
        <v>1105894.9783427313</v>
      </c>
      <c r="R66" s="27">
        <f>(1/(2*LOG(3.7*$I66/'Calculation Constants'!$B$2*1000)))^2</f>
        <v>8.6699836115820689E-3</v>
      </c>
      <c r="S66" s="19">
        <f t="shared" si="17"/>
        <v>0.96467850809376621</v>
      </c>
      <c r="T66" s="19">
        <f>IF($H66&gt;0,'Calculation Constants'!$B$9*Hydraulics!$K66^2/2/9.81/MAX($F$4:$F$253)*$H66,"")</f>
        <v>6.3421890311175441E-2</v>
      </c>
      <c r="U66" s="19">
        <f t="shared" si="18"/>
        <v>1.0281003984049417</v>
      </c>
      <c r="V66" s="19">
        <f t="shared" si="4"/>
        <v>0</v>
      </c>
      <c r="W66" s="19">
        <f t="shared" si="5"/>
        <v>72.585779282948806</v>
      </c>
      <c r="X66" s="23">
        <f t="shared" si="6"/>
        <v>1058.2087792829489</v>
      </c>
      <c r="Y66" s="22">
        <f>(1/(2*LOG(3.7*$I66/'Calculation Constants'!$B$3*1000)))^2</f>
        <v>9.7303620360708887E-3</v>
      </c>
      <c r="Z66" s="19">
        <f t="shared" si="7"/>
        <v>1.0826630767363397</v>
      </c>
      <c r="AA66" s="19">
        <f>IF($H66&gt;0,'Calculation Constants'!$B$9*Hydraulics!$K66^2/2/9.81/MAX($F$4:$F$253)*$H66,"")</f>
        <v>6.3421890311175441E-2</v>
      </c>
      <c r="AB66" s="19">
        <f t="shared" si="27"/>
        <v>1.1460849670475151</v>
      </c>
      <c r="AC66" s="19">
        <f t="shared" si="8"/>
        <v>0</v>
      </c>
      <c r="AD66" s="19">
        <f t="shared" si="20"/>
        <v>66.450581713530028</v>
      </c>
      <c r="AE66" s="23">
        <f t="shared" si="9"/>
        <v>1052.0735817135301</v>
      </c>
      <c r="AF66" s="27">
        <f>(1/(2*LOG(3.7*$I66/'Calculation Constants'!$B$4*1000)))^2</f>
        <v>1.1458969193927592E-2</v>
      </c>
      <c r="AG66" s="19">
        <f t="shared" si="10"/>
        <v>1.274999100520025</v>
      </c>
      <c r="AH66" s="19">
        <f>IF($H66&gt;0,'Calculation Constants'!$B$9*Hydraulics!$K66^2/2/9.81/MAX($F$4:$F$253)*$H66,"")</f>
        <v>6.3421890311175441E-2</v>
      </c>
      <c r="AI66" s="19">
        <f t="shared" si="21"/>
        <v>1.3384209908312004</v>
      </c>
      <c r="AJ66" s="19">
        <f t="shared" si="11"/>
        <v>0</v>
      </c>
      <c r="AK66" s="19">
        <f t="shared" si="22"/>
        <v>56.449108476771926</v>
      </c>
      <c r="AL66" s="23">
        <f t="shared" si="12"/>
        <v>1042.072108476772</v>
      </c>
      <c r="AM66" s="22">
        <f>(1/(2*LOG(3.7*($I66-0.008)/'Calculation Constants'!$B$5*1000)))^2</f>
        <v>1.4542845531075887E-2</v>
      </c>
      <c r="AN66" s="19">
        <f t="shared" si="23"/>
        <v>1.6249731396833385</v>
      </c>
      <c r="AO66" s="19">
        <f>IF($H66&gt;0,'Calculation Constants'!$B$9*Hydraulics!$K66^2/2/9.81/MAX($F$4:$F$253)*$H66,"")</f>
        <v>6.3421890311175441E-2</v>
      </c>
      <c r="AP66" s="19">
        <f t="shared" si="24"/>
        <v>1.6883950299945139</v>
      </c>
      <c r="AQ66" s="19">
        <f t="shared" si="13"/>
        <v>0</v>
      </c>
      <c r="AR66" s="19">
        <f t="shared" si="25"/>
        <v>38.250458440281932</v>
      </c>
      <c r="AS66" s="23">
        <f t="shared" si="14"/>
        <v>1023.873458440282</v>
      </c>
    </row>
    <row r="67" spans="5:45">
      <c r="E67" s="35" t="str">
        <f t="shared" si="0"/>
        <v/>
      </c>
      <c r="F67" s="19">
        <f>'Profile data'!A67</f>
        <v>128</v>
      </c>
      <c r="G67" s="19">
        <f>VLOOKUP(F67,'Profile data'!A67:C326,IF($B$22="Botswana 1",2,3))</f>
        <v>977.75900000000001</v>
      </c>
      <c r="H67" s="19">
        <f t="shared" si="26"/>
        <v>2</v>
      </c>
      <c r="I67" s="19">
        <v>1.9</v>
      </c>
      <c r="J67" s="36">
        <f>'Flow Rate Calculations'!$B$7</f>
        <v>4.0831050228310497</v>
      </c>
      <c r="K67" s="36">
        <f t="shared" si="15"/>
        <v>1.440102709245225</v>
      </c>
      <c r="L67" s="37">
        <f>$I67*$K67/'Calculation Constants'!$B$7</f>
        <v>2421411.6350140949</v>
      </c>
      <c r="M67" s="37">
        <f t="shared" si="1"/>
        <v>133.91100000000006</v>
      </c>
      <c r="N67" s="23">
        <f t="shared" si="16"/>
        <v>79.421678884544008</v>
      </c>
      <c r="O67" s="55">
        <f t="shared" si="2"/>
        <v>133.91100000000006</v>
      </c>
      <c r="P67" s="64">
        <f>MAX(I67*1000/'Calculation Constants'!$B$14,O67*10*I67*1000/2/('Calculation Constants'!$B$12*1000*'Calculation Constants'!$B$13))</f>
        <v>11.875</v>
      </c>
      <c r="Q67" s="66">
        <f t="shared" si="3"/>
        <v>1105894.9783427313</v>
      </c>
      <c r="R67" s="27">
        <f>(1/(2*LOG(3.7*$I67/'Calculation Constants'!$B$2*1000)))^2</f>
        <v>8.6699836115820689E-3</v>
      </c>
      <c r="S67" s="19">
        <f t="shared" si="17"/>
        <v>0.96467850809376621</v>
      </c>
      <c r="T67" s="19">
        <f>IF($H67&gt;0,'Calculation Constants'!$B$9*Hydraulics!$K67^2/2/9.81/MAX($F$4:$F$253)*$H67,"")</f>
        <v>6.3421890311175441E-2</v>
      </c>
      <c r="U67" s="19">
        <f t="shared" si="18"/>
        <v>1.0281003984049417</v>
      </c>
      <c r="V67" s="19">
        <f t="shared" si="4"/>
        <v>0</v>
      </c>
      <c r="W67" s="19">
        <f t="shared" si="5"/>
        <v>79.421678884544008</v>
      </c>
      <c r="X67" s="23">
        <f t="shared" si="6"/>
        <v>1057.180678884544</v>
      </c>
      <c r="Y67" s="22">
        <f>(1/(2*LOG(3.7*$I67/'Calculation Constants'!$B$3*1000)))^2</f>
        <v>9.7303620360708887E-3</v>
      </c>
      <c r="Z67" s="19">
        <f t="shared" si="7"/>
        <v>1.0826630767363397</v>
      </c>
      <c r="AA67" s="19">
        <f>IF($H67&gt;0,'Calculation Constants'!$B$9*Hydraulics!$K67^2/2/9.81/MAX($F$4:$F$253)*$H67,"")</f>
        <v>6.3421890311175441E-2</v>
      </c>
      <c r="AB67" s="19">
        <f t="shared" si="27"/>
        <v>1.1460849670475151</v>
      </c>
      <c r="AC67" s="19">
        <f t="shared" si="8"/>
        <v>0</v>
      </c>
      <c r="AD67" s="19">
        <f t="shared" si="20"/>
        <v>73.16849674648256</v>
      </c>
      <c r="AE67" s="23">
        <f t="shared" si="9"/>
        <v>1050.9274967464826</v>
      </c>
      <c r="AF67" s="27">
        <f>(1/(2*LOG(3.7*$I67/'Calculation Constants'!$B$4*1000)))^2</f>
        <v>1.1458969193927592E-2</v>
      </c>
      <c r="AG67" s="19">
        <f t="shared" si="10"/>
        <v>1.274999100520025</v>
      </c>
      <c r="AH67" s="19">
        <f>IF($H67&gt;0,'Calculation Constants'!$B$9*Hydraulics!$K67^2/2/9.81/MAX($F$4:$F$253)*$H67,"")</f>
        <v>6.3421890311175441E-2</v>
      </c>
      <c r="AI67" s="19">
        <f t="shared" si="21"/>
        <v>1.3384209908312004</v>
      </c>
      <c r="AJ67" s="19">
        <f t="shared" si="11"/>
        <v>0</v>
      </c>
      <c r="AK67" s="19">
        <f t="shared" si="22"/>
        <v>62.974687485940649</v>
      </c>
      <c r="AL67" s="23">
        <f t="shared" si="12"/>
        <v>1040.7336874859407</v>
      </c>
      <c r="AM67" s="22">
        <f>(1/(2*LOG(3.7*($I67-0.008)/'Calculation Constants'!$B$5*1000)))^2</f>
        <v>1.4542845531075887E-2</v>
      </c>
      <c r="AN67" s="19">
        <f t="shared" si="23"/>
        <v>1.6249731396833385</v>
      </c>
      <c r="AO67" s="19">
        <f>IF($H67&gt;0,'Calculation Constants'!$B$9*Hydraulics!$K67^2/2/9.81/MAX($F$4:$F$253)*$H67,"")</f>
        <v>6.3421890311175441E-2</v>
      </c>
      <c r="AP67" s="19">
        <f t="shared" si="24"/>
        <v>1.6883950299945139</v>
      </c>
      <c r="AQ67" s="19">
        <f t="shared" si="13"/>
        <v>0</v>
      </c>
      <c r="AR67" s="19">
        <f t="shared" si="25"/>
        <v>44.426063410287497</v>
      </c>
      <c r="AS67" s="23">
        <f t="shared" si="14"/>
        <v>1022.1850634102875</v>
      </c>
    </row>
    <row r="68" spans="5:45">
      <c r="E68" s="35" t="str">
        <f t="shared" ref="E68:E131" si="28">IF(OR(F68=$B$11,F68=$B$12,F68=$B$13,F68=$B$14,F68=$B$15),"Reservoir",IF(OR(F68=$B$4,F68=$B$5,F68=$B$6),"Pump Station",""))</f>
        <v/>
      </c>
      <c r="F68" s="19">
        <f>'Profile data'!A68</f>
        <v>130</v>
      </c>
      <c r="G68" s="19">
        <f>VLOOKUP(F68,'Profile data'!A68:C327,IF($B$22="Botswana 1",2,3))</f>
        <v>969.77200000000005</v>
      </c>
      <c r="H68" s="19">
        <f t="shared" si="26"/>
        <v>2</v>
      </c>
      <c r="I68" s="19">
        <v>1.9</v>
      </c>
      <c r="J68" s="36">
        <f>'Flow Rate Calculations'!$B$7</f>
        <v>4.0831050228310497</v>
      </c>
      <c r="K68" s="36">
        <f t="shared" si="15"/>
        <v>1.440102709245225</v>
      </c>
      <c r="L68" s="37">
        <f>$I68*$K68/'Calculation Constants'!$B$7</f>
        <v>2421411.6350140949</v>
      </c>
      <c r="M68" s="37">
        <f t="shared" ref="M68:M131" si="29">IF(X68&gt;VLOOKUP(F68,$B$11:$D$15,2),"Greater Dynamic Pressures",VLOOKUP(F68,$B$11:$C$15,2)-G68)</f>
        <v>141.89800000000002</v>
      </c>
      <c r="N68" s="23">
        <f t="shared" si="16"/>
        <v>86.380578486139143</v>
      </c>
      <c r="O68" s="55">
        <f t="shared" ref="O68:O131" si="30">MAX(M68,AD68)</f>
        <v>141.89800000000002</v>
      </c>
      <c r="P68" s="64">
        <f>MAX(I68*1000/'Calculation Constants'!$B$14,O68*10*I68*1000/2/('Calculation Constants'!$B$12*1000*'Calculation Constants'!$B$13))</f>
        <v>11.875</v>
      </c>
      <c r="Q68" s="66">
        <f t="shared" ref="Q68:Q131" si="31">(I68^2*PI()/4-(I68-P68/1000*2)^2*PI()/4)*H68*1000*7850</f>
        <v>1105894.9783427313</v>
      </c>
      <c r="R68" s="27">
        <f>(1/(2*LOG(3.7*$I68/'Calculation Constants'!$B$2*1000)))^2</f>
        <v>8.6699836115820689E-3</v>
      </c>
      <c r="S68" s="19">
        <f t="shared" si="17"/>
        <v>0.96467850809376621</v>
      </c>
      <c r="T68" s="19">
        <f>IF($H68&gt;0,'Calculation Constants'!$B$9*Hydraulics!$K68^2/2/9.81/MAX($F$4:$F$253)*$H68,"")</f>
        <v>6.3421890311175441E-2</v>
      </c>
      <c r="U68" s="19">
        <f t="shared" si="18"/>
        <v>1.0281003984049417</v>
      </c>
      <c r="V68" s="19">
        <f t="shared" ref="V68:V131" si="32">IF($F68=$B$4,$D$4,(IF($F68=$B$5,$D$5,IF($F68=$B$6,$D$6,0))))</f>
        <v>0</v>
      </c>
      <c r="W68" s="19">
        <f t="shared" ref="W68:W131" si="33">IF(E68="Reservoir",VLOOKUP(F68,$B$11:$D$15,2)-G68,X68-$G68)</f>
        <v>86.380578486139143</v>
      </c>
      <c r="X68" s="23">
        <f t="shared" ref="X68:X131" si="34">IF($E68="Reservoir",VLOOKUP($F68,$B$11:$D$15,2)+V68,X67-U68+V68)</f>
        <v>1056.1525784861392</v>
      </c>
      <c r="Y68" s="22">
        <f>(1/(2*LOG(3.7*$I68/'Calculation Constants'!$B$3*1000)))^2</f>
        <v>9.7303620360708887E-3</v>
      </c>
      <c r="Z68" s="19">
        <f t="shared" ref="Z68:Z131" si="35">IF($H68&gt;0,Y68*$H68*$K68^2/2/9.81/$I68*1000,"")</f>
        <v>1.0826630767363397</v>
      </c>
      <c r="AA68" s="19">
        <f>IF($H68&gt;0,'Calculation Constants'!$B$9*Hydraulics!$K68^2/2/9.81/MAX($F$4:$F$253)*$H68,"")</f>
        <v>6.3421890311175441E-2</v>
      </c>
      <c r="AB68" s="19">
        <f t="shared" si="27"/>
        <v>1.1460849670475151</v>
      </c>
      <c r="AC68" s="19">
        <f t="shared" ref="AC68:AC131" si="36">IF($F68=$B$4,$D$4,(IF($F68=$B$5,$D$5,IF($F68=$B$6,$D$6,0))))</f>
        <v>0</v>
      </c>
      <c r="AD68" s="19">
        <f t="shared" si="20"/>
        <v>80.009411779435027</v>
      </c>
      <c r="AE68" s="23">
        <f t="shared" ref="AE68:AE131" si="37">IF($E68="Reservoir",VLOOKUP($F68,$B$11:$D$15,2)+AC68,AE67-AB68+AC68)</f>
        <v>1049.7814117794351</v>
      </c>
      <c r="AF68" s="27">
        <f>(1/(2*LOG(3.7*$I68/'Calculation Constants'!$B$4*1000)))^2</f>
        <v>1.1458969193927592E-2</v>
      </c>
      <c r="AG68" s="19">
        <f t="shared" ref="AG68:AG131" si="38">IF($H68&gt;0,AF68*$H68*$K68^2/2/9.81/$I68*1000,"")</f>
        <v>1.274999100520025</v>
      </c>
      <c r="AH68" s="19">
        <f>IF($H68&gt;0,'Calculation Constants'!$B$9*Hydraulics!$K68^2/2/9.81/MAX($F$4:$F$253)*$H68,"")</f>
        <v>6.3421890311175441E-2</v>
      </c>
      <c r="AI68" s="19">
        <f t="shared" si="21"/>
        <v>1.3384209908312004</v>
      </c>
      <c r="AJ68" s="19">
        <f t="shared" ref="AJ68:AJ131" si="39">IF($F68=$B$4,$D$4,(IF($F68=$B$5,$D$5,IF($F68=$B$6,$D$6,0))))</f>
        <v>0</v>
      </c>
      <c r="AK68" s="19">
        <f t="shared" si="22"/>
        <v>69.623266495109306</v>
      </c>
      <c r="AL68" s="23">
        <f t="shared" ref="AL68:AL131" si="40">IF($E68="Reservoir",VLOOKUP($F68,$B$11:$D$15,2)+AJ68,AL67-AI68+AJ68)</f>
        <v>1039.3952664951094</v>
      </c>
      <c r="AM68" s="22">
        <f>(1/(2*LOG(3.7*($I68-0.008)/'Calculation Constants'!$B$5*1000)))^2</f>
        <v>1.4542845531075887E-2</v>
      </c>
      <c r="AN68" s="19">
        <f t="shared" si="23"/>
        <v>1.6249731396833385</v>
      </c>
      <c r="AO68" s="19">
        <f>IF($H68&gt;0,'Calculation Constants'!$B$9*Hydraulics!$K68^2/2/9.81/MAX($F$4:$F$253)*$H68,"")</f>
        <v>6.3421890311175441E-2</v>
      </c>
      <c r="AP68" s="19">
        <f t="shared" si="24"/>
        <v>1.6883950299945139</v>
      </c>
      <c r="AQ68" s="19">
        <f t="shared" ref="AQ68:AQ131" si="41">IF($F68=$B$4,$D$4,(IF($F68=$B$5,$D$5,IF($F68=$B$6,$D$6,0))))</f>
        <v>0</v>
      </c>
      <c r="AR68" s="19">
        <f t="shared" si="25"/>
        <v>50.724668380292997</v>
      </c>
      <c r="AS68" s="23">
        <f t="shared" ref="AS68:AS131" si="42">IF($E68="Reservoir",VLOOKUP($F68,$B$11:$D$15,2)+AQ68,AS67-AP68+AQ68)</f>
        <v>1020.496668380293</v>
      </c>
    </row>
    <row r="69" spans="5:45">
      <c r="E69" s="35" t="str">
        <f t="shared" si="28"/>
        <v/>
      </c>
      <c r="F69" s="19">
        <f>'Profile data'!A69</f>
        <v>132</v>
      </c>
      <c r="G69" s="19">
        <f>VLOOKUP(F69,'Profile data'!A69:C328,IF($B$22="Botswana 1",2,3))</f>
        <v>981.78499999999997</v>
      </c>
      <c r="H69" s="19">
        <f t="shared" si="26"/>
        <v>2</v>
      </c>
      <c r="I69" s="19">
        <v>1.9</v>
      </c>
      <c r="J69" s="36">
        <f>'Flow Rate Calculations'!$B$7</f>
        <v>4.0831050228310497</v>
      </c>
      <c r="K69" s="36">
        <f t="shared" ref="K69:K132" si="43">J69/I69^2/PI()*4</f>
        <v>1.440102709245225</v>
      </c>
      <c r="L69" s="37">
        <f>$I69*$K69/'Calculation Constants'!$B$7</f>
        <v>2421411.6350140949</v>
      </c>
      <c r="M69" s="37">
        <f t="shared" si="29"/>
        <v>129.8850000000001</v>
      </c>
      <c r="N69" s="23">
        <f t="shared" ref="N69:N132" si="44">W69</f>
        <v>73.339478087734392</v>
      </c>
      <c r="O69" s="55">
        <f t="shared" si="30"/>
        <v>129.8850000000001</v>
      </c>
      <c r="P69" s="64">
        <f>MAX(I69*1000/'Calculation Constants'!$B$14,O69*10*I69*1000/2/('Calculation Constants'!$B$12*1000*'Calculation Constants'!$B$13))</f>
        <v>11.875</v>
      </c>
      <c r="Q69" s="66">
        <f t="shared" si="31"/>
        <v>1105894.9783427313</v>
      </c>
      <c r="R69" s="27">
        <f>(1/(2*LOG(3.7*$I69/'Calculation Constants'!$B$2*1000)))^2</f>
        <v>8.6699836115820689E-3</v>
      </c>
      <c r="S69" s="19">
        <f t="shared" ref="S69:S132" si="45">IF($H69&gt;0,R69*$H69*$K69^2/2/9.81/$I69*1000,"")</f>
        <v>0.96467850809376621</v>
      </c>
      <c r="T69" s="19">
        <f>IF($H69&gt;0,'Calculation Constants'!$B$9*Hydraulics!$K69^2/2/9.81/MAX($F$4:$F$253)*$H69,"")</f>
        <v>6.3421890311175441E-2</v>
      </c>
      <c r="U69" s="19">
        <f t="shared" ref="U69:U132" si="46">IF(S69="",0,S69+T69)</f>
        <v>1.0281003984049417</v>
      </c>
      <c r="V69" s="19">
        <f t="shared" si="32"/>
        <v>0</v>
      </c>
      <c r="W69" s="19">
        <f t="shared" si="33"/>
        <v>73.339478087734392</v>
      </c>
      <c r="X69" s="23">
        <f t="shared" si="34"/>
        <v>1055.1244780877344</v>
      </c>
      <c r="Y69" s="22">
        <f>(1/(2*LOG(3.7*$I69/'Calculation Constants'!$B$3*1000)))^2</f>
        <v>9.7303620360708887E-3</v>
      </c>
      <c r="Z69" s="19">
        <f t="shared" si="35"/>
        <v>1.0826630767363397</v>
      </c>
      <c r="AA69" s="19">
        <f>IF($H69&gt;0,'Calculation Constants'!$B$9*Hydraulics!$K69^2/2/9.81/MAX($F$4:$F$253)*$H69,"")</f>
        <v>6.3421890311175441E-2</v>
      </c>
      <c r="AB69" s="19">
        <f t="shared" si="27"/>
        <v>1.1460849670475151</v>
      </c>
      <c r="AC69" s="19">
        <f t="shared" si="36"/>
        <v>0</v>
      </c>
      <c r="AD69" s="19">
        <f t="shared" ref="AD69:AD132" si="47">AE69-$G69</f>
        <v>66.850326812387607</v>
      </c>
      <c r="AE69" s="23">
        <f t="shared" si="37"/>
        <v>1048.6353268123876</v>
      </c>
      <c r="AF69" s="27">
        <f>(1/(2*LOG(3.7*$I69/'Calculation Constants'!$B$4*1000)))^2</f>
        <v>1.1458969193927592E-2</v>
      </c>
      <c r="AG69" s="19">
        <f t="shared" si="38"/>
        <v>1.274999100520025</v>
      </c>
      <c r="AH69" s="19">
        <f>IF($H69&gt;0,'Calculation Constants'!$B$9*Hydraulics!$K69^2/2/9.81/MAX($F$4:$F$253)*$H69,"")</f>
        <v>6.3421890311175441E-2</v>
      </c>
      <c r="AI69" s="19">
        <f t="shared" ref="AI69:AI132" si="48">IF(AG69="",0,AG69+AH69)</f>
        <v>1.3384209908312004</v>
      </c>
      <c r="AJ69" s="19">
        <f t="shared" si="39"/>
        <v>0</v>
      </c>
      <c r="AK69" s="19">
        <f t="shared" ref="AK69:AK132" si="49">AL69-$G69</f>
        <v>56.271845504278076</v>
      </c>
      <c r="AL69" s="23">
        <f t="shared" si="40"/>
        <v>1038.056845504278</v>
      </c>
      <c r="AM69" s="22">
        <f>(1/(2*LOG(3.7*($I69-0.008)/'Calculation Constants'!$B$5*1000)))^2</f>
        <v>1.4542845531075887E-2</v>
      </c>
      <c r="AN69" s="19">
        <f t="shared" ref="AN69:AN132" si="50">IF($H69&gt;0,AM69*$H69*$K69^2/2/9.81/($I69-0.008)*1000,"")</f>
        <v>1.6249731396833385</v>
      </c>
      <c r="AO69" s="19">
        <f>IF($H69&gt;0,'Calculation Constants'!$B$9*Hydraulics!$K69^2/2/9.81/MAX($F$4:$F$253)*$H69,"")</f>
        <v>6.3421890311175441E-2</v>
      </c>
      <c r="AP69" s="19">
        <f t="shared" ref="AP69:AP132" si="51">IF(AN69="",0,AN69+AO69)</f>
        <v>1.6883950299945139</v>
      </c>
      <c r="AQ69" s="19">
        <f t="shared" si="41"/>
        <v>0</v>
      </c>
      <c r="AR69" s="19">
        <f t="shared" ref="AR69:AR132" si="52">AS69-$G69</f>
        <v>37.023273350298609</v>
      </c>
      <c r="AS69" s="23">
        <f t="shared" si="42"/>
        <v>1018.8082733502986</v>
      </c>
    </row>
    <row r="70" spans="5:45">
      <c r="E70" s="35" t="str">
        <f t="shared" si="28"/>
        <v/>
      </c>
      <c r="F70" s="19">
        <f>'Profile data'!A70</f>
        <v>134</v>
      </c>
      <c r="G70" s="19">
        <f>VLOOKUP(F70,'Profile data'!A70:C329,IF($B$22="Botswana 1",2,3))</f>
        <v>991.45799999999997</v>
      </c>
      <c r="H70" s="19">
        <f t="shared" ref="H70:H133" si="53">F70-F69</f>
        <v>2</v>
      </c>
      <c r="I70" s="19">
        <v>1.9</v>
      </c>
      <c r="J70" s="36">
        <f>'Flow Rate Calculations'!$B$7</f>
        <v>4.0831050228310497</v>
      </c>
      <c r="K70" s="36">
        <f t="shared" si="43"/>
        <v>1.440102709245225</v>
      </c>
      <c r="L70" s="37">
        <f>$I70*$K70/'Calculation Constants'!$B$7</f>
        <v>2421411.6350140949</v>
      </c>
      <c r="M70" s="37">
        <f t="shared" si="29"/>
        <v>120.2120000000001</v>
      </c>
      <c r="N70" s="23">
        <f t="shared" si="44"/>
        <v>62.638377689329559</v>
      </c>
      <c r="O70" s="55">
        <f t="shared" si="30"/>
        <v>120.2120000000001</v>
      </c>
      <c r="P70" s="64">
        <f>MAX(I70*1000/'Calculation Constants'!$B$14,O70*10*I70*1000/2/('Calculation Constants'!$B$12*1000*'Calculation Constants'!$B$13))</f>
        <v>11.875</v>
      </c>
      <c r="Q70" s="66">
        <f t="shared" si="31"/>
        <v>1105894.9783427313</v>
      </c>
      <c r="R70" s="27">
        <f>(1/(2*LOG(3.7*$I70/'Calculation Constants'!$B$2*1000)))^2</f>
        <v>8.6699836115820689E-3</v>
      </c>
      <c r="S70" s="19">
        <f t="shared" si="45"/>
        <v>0.96467850809376621</v>
      </c>
      <c r="T70" s="19">
        <f>IF($H70&gt;0,'Calculation Constants'!$B$9*Hydraulics!$K70^2/2/9.81/MAX($F$4:$F$253)*$H70,"")</f>
        <v>6.3421890311175441E-2</v>
      </c>
      <c r="U70" s="19">
        <f t="shared" si="46"/>
        <v>1.0281003984049417</v>
      </c>
      <c r="V70" s="19">
        <f t="shared" si="32"/>
        <v>0</v>
      </c>
      <c r="W70" s="19">
        <f t="shared" si="33"/>
        <v>62.638377689329559</v>
      </c>
      <c r="X70" s="23">
        <f t="shared" si="34"/>
        <v>1054.0963776893295</v>
      </c>
      <c r="Y70" s="22">
        <f>(1/(2*LOG(3.7*$I70/'Calculation Constants'!$B$3*1000)))^2</f>
        <v>9.7303620360708887E-3</v>
      </c>
      <c r="Z70" s="19">
        <f t="shared" si="35"/>
        <v>1.0826630767363397</v>
      </c>
      <c r="AA70" s="19">
        <f>IF($H70&gt;0,'Calculation Constants'!$B$9*Hydraulics!$K70^2/2/9.81/MAX($F$4:$F$253)*$H70,"")</f>
        <v>6.3421890311175441E-2</v>
      </c>
      <c r="AB70" s="19">
        <f t="shared" si="27"/>
        <v>1.1460849670475151</v>
      </c>
      <c r="AC70" s="19">
        <f t="shared" si="36"/>
        <v>0</v>
      </c>
      <c r="AD70" s="19">
        <f t="shared" si="47"/>
        <v>56.031241845340105</v>
      </c>
      <c r="AE70" s="23">
        <f t="shared" si="37"/>
        <v>1047.4892418453401</v>
      </c>
      <c r="AF70" s="27">
        <f>(1/(2*LOG(3.7*$I70/'Calculation Constants'!$B$4*1000)))^2</f>
        <v>1.1458969193927592E-2</v>
      </c>
      <c r="AG70" s="19">
        <f t="shared" si="38"/>
        <v>1.274999100520025</v>
      </c>
      <c r="AH70" s="19">
        <f>IF($H70&gt;0,'Calculation Constants'!$B$9*Hydraulics!$K70^2/2/9.81/MAX($F$4:$F$253)*$H70,"")</f>
        <v>6.3421890311175441E-2</v>
      </c>
      <c r="AI70" s="19">
        <f t="shared" si="48"/>
        <v>1.3384209908312004</v>
      </c>
      <c r="AJ70" s="19">
        <f t="shared" si="39"/>
        <v>0</v>
      </c>
      <c r="AK70" s="19">
        <f t="shared" si="49"/>
        <v>45.260424513446765</v>
      </c>
      <c r="AL70" s="23">
        <f t="shared" si="40"/>
        <v>1036.7184245134467</v>
      </c>
      <c r="AM70" s="22">
        <f>(1/(2*LOG(3.7*($I70-0.008)/'Calculation Constants'!$B$5*1000)))^2</f>
        <v>1.4542845531075887E-2</v>
      </c>
      <c r="AN70" s="19">
        <f t="shared" si="50"/>
        <v>1.6249731396833385</v>
      </c>
      <c r="AO70" s="19">
        <f>IF($H70&gt;0,'Calculation Constants'!$B$9*Hydraulics!$K70^2/2/9.81/MAX($F$4:$F$253)*$H70,"")</f>
        <v>6.3421890311175441E-2</v>
      </c>
      <c r="AP70" s="19">
        <f t="shared" si="51"/>
        <v>1.6883950299945139</v>
      </c>
      <c r="AQ70" s="19">
        <f t="shared" si="41"/>
        <v>0</v>
      </c>
      <c r="AR70" s="19">
        <f t="shared" si="52"/>
        <v>25.66187832030414</v>
      </c>
      <c r="AS70" s="23">
        <f t="shared" si="42"/>
        <v>1017.1198783203041</v>
      </c>
    </row>
    <row r="71" spans="5:45">
      <c r="E71" s="35" t="str">
        <f t="shared" si="28"/>
        <v/>
      </c>
      <c r="F71" s="19">
        <f>'Profile data'!A71</f>
        <v>136</v>
      </c>
      <c r="G71" s="19">
        <f>VLOOKUP(F71,'Profile data'!A71:C330,IF($B$22="Botswana 1",2,3))</f>
        <v>987.77</v>
      </c>
      <c r="H71" s="19">
        <f t="shared" si="53"/>
        <v>2</v>
      </c>
      <c r="I71" s="19">
        <v>1.9</v>
      </c>
      <c r="J71" s="36">
        <f>'Flow Rate Calculations'!$B$7</f>
        <v>4.0831050228310497</v>
      </c>
      <c r="K71" s="36">
        <f t="shared" si="43"/>
        <v>1.440102709245225</v>
      </c>
      <c r="L71" s="37">
        <f>$I71*$K71/'Calculation Constants'!$B$7</f>
        <v>2421411.6350140949</v>
      </c>
      <c r="M71" s="37">
        <f t="shared" si="29"/>
        <v>123.90000000000009</v>
      </c>
      <c r="N71" s="23">
        <f t="shared" si="44"/>
        <v>65.298277290924716</v>
      </c>
      <c r="O71" s="55">
        <f t="shared" si="30"/>
        <v>123.90000000000009</v>
      </c>
      <c r="P71" s="64">
        <f>MAX(I71*1000/'Calculation Constants'!$B$14,O71*10*I71*1000/2/('Calculation Constants'!$B$12*1000*'Calculation Constants'!$B$13))</f>
        <v>11.875</v>
      </c>
      <c r="Q71" s="66">
        <f t="shared" si="31"/>
        <v>1105894.9783427313</v>
      </c>
      <c r="R71" s="27">
        <f>(1/(2*LOG(3.7*$I71/'Calculation Constants'!$B$2*1000)))^2</f>
        <v>8.6699836115820689E-3</v>
      </c>
      <c r="S71" s="19">
        <f t="shared" si="45"/>
        <v>0.96467850809376621</v>
      </c>
      <c r="T71" s="19">
        <f>IF($H71&gt;0,'Calculation Constants'!$B$9*Hydraulics!$K71^2/2/9.81/MAX($F$4:$F$253)*$H71,"")</f>
        <v>6.3421890311175441E-2</v>
      </c>
      <c r="U71" s="19">
        <f t="shared" si="46"/>
        <v>1.0281003984049417</v>
      </c>
      <c r="V71" s="19">
        <f t="shared" si="32"/>
        <v>0</v>
      </c>
      <c r="W71" s="19">
        <f t="shared" si="33"/>
        <v>65.298277290924716</v>
      </c>
      <c r="X71" s="23">
        <f t="shared" si="34"/>
        <v>1053.0682772909247</v>
      </c>
      <c r="Y71" s="22">
        <f>(1/(2*LOG(3.7*$I71/'Calculation Constants'!$B$3*1000)))^2</f>
        <v>9.7303620360708887E-3</v>
      </c>
      <c r="Z71" s="19">
        <f t="shared" si="35"/>
        <v>1.0826630767363397</v>
      </c>
      <c r="AA71" s="19">
        <f>IF($H71&gt;0,'Calculation Constants'!$B$9*Hydraulics!$K71^2/2/9.81/MAX($F$4:$F$253)*$H71,"")</f>
        <v>6.3421890311175441E-2</v>
      </c>
      <c r="AB71" s="19">
        <f t="shared" si="27"/>
        <v>1.1460849670475151</v>
      </c>
      <c r="AC71" s="19">
        <f t="shared" si="36"/>
        <v>0</v>
      </c>
      <c r="AD71" s="19">
        <f t="shared" si="47"/>
        <v>58.573156878292593</v>
      </c>
      <c r="AE71" s="23">
        <f t="shared" si="37"/>
        <v>1046.3431568782926</v>
      </c>
      <c r="AF71" s="27">
        <f>(1/(2*LOG(3.7*$I71/'Calculation Constants'!$B$4*1000)))^2</f>
        <v>1.1458969193927592E-2</v>
      </c>
      <c r="AG71" s="19">
        <f t="shared" si="38"/>
        <v>1.274999100520025</v>
      </c>
      <c r="AH71" s="19">
        <f>IF($H71&gt;0,'Calculation Constants'!$B$9*Hydraulics!$K71^2/2/9.81/MAX($F$4:$F$253)*$H71,"")</f>
        <v>6.3421890311175441E-2</v>
      </c>
      <c r="AI71" s="19">
        <f t="shared" si="48"/>
        <v>1.3384209908312004</v>
      </c>
      <c r="AJ71" s="19">
        <f t="shared" si="39"/>
        <v>0</v>
      </c>
      <c r="AK71" s="19">
        <f t="shared" si="49"/>
        <v>47.610003522615443</v>
      </c>
      <c r="AL71" s="23">
        <f t="shared" si="40"/>
        <v>1035.3800035226154</v>
      </c>
      <c r="AM71" s="22">
        <f>(1/(2*LOG(3.7*($I71-0.008)/'Calculation Constants'!$B$5*1000)))^2</f>
        <v>1.4542845531075887E-2</v>
      </c>
      <c r="AN71" s="19">
        <f t="shared" si="50"/>
        <v>1.6249731396833385</v>
      </c>
      <c r="AO71" s="19">
        <f>IF($H71&gt;0,'Calculation Constants'!$B$9*Hydraulics!$K71^2/2/9.81/MAX($F$4:$F$253)*$H71,"")</f>
        <v>6.3421890311175441E-2</v>
      </c>
      <c r="AP71" s="19">
        <f t="shared" si="51"/>
        <v>1.6883950299945139</v>
      </c>
      <c r="AQ71" s="19">
        <f t="shared" si="41"/>
        <v>0</v>
      </c>
      <c r="AR71" s="19">
        <f t="shared" si="52"/>
        <v>27.661483290309661</v>
      </c>
      <c r="AS71" s="23">
        <f t="shared" si="42"/>
        <v>1015.4314832903096</v>
      </c>
    </row>
    <row r="72" spans="5:45">
      <c r="E72" s="35" t="str">
        <f t="shared" si="28"/>
        <v/>
      </c>
      <c r="F72" s="19">
        <f>'Profile data'!A72</f>
        <v>138</v>
      </c>
      <c r="G72" s="19">
        <f>VLOOKUP(F72,'Profile data'!A72:C331,IF($B$22="Botswana 1",2,3))</f>
        <v>982.72500000000002</v>
      </c>
      <c r="H72" s="19">
        <f t="shared" si="53"/>
        <v>2</v>
      </c>
      <c r="I72" s="19">
        <v>1.9</v>
      </c>
      <c r="J72" s="36">
        <f>'Flow Rate Calculations'!$B$7</f>
        <v>4.0831050228310497</v>
      </c>
      <c r="K72" s="36">
        <f t="shared" si="43"/>
        <v>1.440102709245225</v>
      </c>
      <c r="L72" s="37">
        <f>$I72*$K72/'Calculation Constants'!$B$7</f>
        <v>2421411.6350140949</v>
      </c>
      <c r="M72" s="37">
        <f t="shared" si="29"/>
        <v>128.94500000000005</v>
      </c>
      <c r="N72" s="23">
        <f t="shared" si="44"/>
        <v>69.315176892519844</v>
      </c>
      <c r="O72" s="55">
        <f t="shared" si="30"/>
        <v>128.94500000000005</v>
      </c>
      <c r="P72" s="64">
        <f>MAX(I72*1000/'Calculation Constants'!$B$14,O72*10*I72*1000/2/('Calculation Constants'!$B$12*1000*'Calculation Constants'!$B$13))</f>
        <v>11.875</v>
      </c>
      <c r="Q72" s="66">
        <f t="shared" si="31"/>
        <v>1105894.9783427313</v>
      </c>
      <c r="R72" s="27">
        <f>(1/(2*LOG(3.7*$I72/'Calculation Constants'!$B$2*1000)))^2</f>
        <v>8.6699836115820689E-3</v>
      </c>
      <c r="S72" s="19">
        <f t="shared" si="45"/>
        <v>0.96467850809376621</v>
      </c>
      <c r="T72" s="19">
        <f>IF($H72&gt;0,'Calculation Constants'!$B$9*Hydraulics!$K72^2/2/9.81/MAX($F$4:$F$253)*$H72,"")</f>
        <v>6.3421890311175441E-2</v>
      </c>
      <c r="U72" s="19">
        <f t="shared" si="46"/>
        <v>1.0281003984049417</v>
      </c>
      <c r="V72" s="19">
        <f t="shared" si="32"/>
        <v>0</v>
      </c>
      <c r="W72" s="19">
        <f t="shared" si="33"/>
        <v>69.315176892519844</v>
      </c>
      <c r="X72" s="23">
        <f t="shared" si="34"/>
        <v>1052.0401768925199</v>
      </c>
      <c r="Y72" s="22">
        <f>(1/(2*LOG(3.7*$I72/'Calculation Constants'!$B$3*1000)))^2</f>
        <v>9.7303620360708887E-3</v>
      </c>
      <c r="Z72" s="19">
        <f t="shared" si="35"/>
        <v>1.0826630767363397</v>
      </c>
      <c r="AA72" s="19">
        <f>IF($H72&gt;0,'Calculation Constants'!$B$9*Hydraulics!$K72^2/2/9.81/MAX($F$4:$F$253)*$H72,"")</f>
        <v>6.3421890311175441E-2</v>
      </c>
      <c r="AB72" s="19">
        <f t="shared" ref="AB72:AB135" si="54">IF(Z72="",0,Z72+AA72)</f>
        <v>1.1460849670475151</v>
      </c>
      <c r="AC72" s="19">
        <f t="shared" si="36"/>
        <v>0</v>
      </c>
      <c r="AD72" s="19">
        <f t="shared" si="47"/>
        <v>62.472071911245052</v>
      </c>
      <c r="AE72" s="23">
        <f t="shared" si="37"/>
        <v>1045.1970719112451</v>
      </c>
      <c r="AF72" s="27">
        <f>(1/(2*LOG(3.7*$I72/'Calculation Constants'!$B$4*1000)))^2</f>
        <v>1.1458969193927592E-2</v>
      </c>
      <c r="AG72" s="19">
        <f t="shared" si="38"/>
        <v>1.274999100520025</v>
      </c>
      <c r="AH72" s="19">
        <f>IF($H72&gt;0,'Calculation Constants'!$B$9*Hydraulics!$K72^2/2/9.81/MAX($F$4:$F$253)*$H72,"")</f>
        <v>6.3421890311175441E-2</v>
      </c>
      <c r="AI72" s="19">
        <f t="shared" si="48"/>
        <v>1.3384209908312004</v>
      </c>
      <c r="AJ72" s="19">
        <f t="shared" si="39"/>
        <v>0</v>
      </c>
      <c r="AK72" s="19">
        <f t="shared" si="49"/>
        <v>51.316582531784093</v>
      </c>
      <c r="AL72" s="23">
        <f t="shared" si="40"/>
        <v>1034.0415825317841</v>
      </c>
      <c r="AM72" s="22">
        <f>(1/(2*LOG(3.7*($I72-0.008)/'Calculation Constants'!$B$5*1000)))^2</f>
        <v>1.4542845531075887E-2</v>
      </c>
      <c r="AN72" s="19">
        <f t="shared" si="50"/>
        <v>1.6249731396833385</v>
      </c>
      <c r="AO72" s="19">
        <f>IF($H72&gt;0,'Calculation Constants'!$B$9*Hydraulics!$K72^2/2/9.81/MAX($F$4:$F$253)*$H72,"")</f>
        <v>6.3421890311175441E-2</v>
      </c>
      <c r="AP72" s="19">
        <f t="shared" si="51"/>
        <v>1.6883950299945139</v>
      </c>
      <c r="AQ72" s="19">
        <f t="shared" si="41"/>
        <v>0</v>
      </c>
      <c r="AR72" s="19">
        <f t="shared" si="52"/>
        <v>31.018088260315153</v>
      </c>
      <c r="AS72" s="23">
        <f t="shared" si="42"/>
        <v>1013.7430882603152</v>
      </c>
    </row>
    <row r="73" spans="5:45">
      <c r="E73" s="35" t="str">
        <f t="shared" si="28"/>
        <v/>
      </c>
      <c r="F73" s="19">
        <f>'Profile data'!A73</f>
        <v>140</v>
      </c>
      <c r="G73" s="19">
        <f>VLOOKUP(F73,'Profile data'!A73:C332,IF($B$22="Botswana 1",2,3))</f>
        <v>977.55899999999997</v>
      </c>
      <c r="H73" s="19">
        <f t="shared" si="53"/>
        <v>2</v>
      </c>
      <c r="I73" s="19">
        <v>1.9</v>
      </c>
      <c r="J73" s="36">
        <f>'Flow Rate Calculations'!$B$7</f>
        <v>4.0831050228310497</v>
      </c>
      <c r="K73" s="36">
        <f t="shared" si="43"/>
        <v>1.440102709245225</v>
      </c>
      <c r="L73" s="37">
        <f>$I73*$K73/'Calculation Constants'!$B$7</f>
        <v>2421411.6350140949</v>
      </c>
      <c r="M73" s="37">
        <f t="shared" si="29"/>
        <v>134.1110000000001</v>
      </c>
      <c r="N73" s="23">
        <f t="shared" si="44"/>
        <v>73.453076494115066</v>
      </c>
      <c r="O73" s="55">
        <f t="shared" si="30"/>
        <v>134.1110000000001</v>
      </c>
      <c r="P73" s="64">
        <f>MAX(I73*1000/'Calculation Constants'!$B$14,O73*10*I73*1000/2/('Calculation Constants'!$B$12*1000*'Calculation Constants'!$B$13))</f>
        <v>11.875</v>
      </c>
      <c r="Q73" s="66">
        <f t="shared" si="31"/>
        <v>1105894.9783427313</v>
      </c>
      <c r="R73" s="27">
        <f>(1/(2*LOG(3.7*$I73/'Calculation Constants'!$B$2*1000)))^2</f>
        <v>8.6699836115820689E-3</v>
      </c>
      <c r="S73" s="19">
        <f t="shared" si="45"/>
        <v>0.96467850809376621</v>
      </c>
      <c r="T73" s="19">
        <f>IF($H73&gt;0,'Calculation Constants'!$B$9*Hydraulics!$K73^2/2/9.81/MAX($F$4:$F$253)*$H73,"")</f>
        <v>6.3421890311175441E-2</v>
      </c>
      <c r="U73" s="19">
        <f t="shared" si="46"/>
        <v>1.0281003984049417</v>
      </c>
      <c r="V73" s="19">
        <f t="shared" si="32"/>
        <v>0</v>
      </c>
      <c r="W73" s="19">
        <f t="shared" si="33"/>
        <v>73.453076494115066</v>
      </c>
      <c r="X73" s="23">
        <f t="shared" si="34"/>
        <v>1051.012076494115</v>
      </c>
      <c r="Y73" s="22">
        <f>(1/(2*LOG(3.7*$I73/'Calculation Constants'!$B$3*1000)))^2</f>
        <v>9.7303620360708887E-3</v>
      </c>
      <c r="Z73" s="19">
        <f t="shared" si="35"/>
        <v>1.0826630767363397</v>
      </c>
      <c r="AA73" s="19">
        <f>IF($H73&gt;0,'Calculation Constants'!$B$9*Hydraulics!$K73^2/2/9.81/MAX($F$4:$F$253)*$H73,"")</f>
        <v>6.3421890311175441E-2</v>
      </c>
      <c r="AB73" s="19">
        <f t="shared" si="54"/>
        <v>1.1460849670475151</v>
      </c>
      <c r="AC73" s="19">
        <f t="shared" si="36"/>
        <v>0</v>
      </c>
      <c r="AD73" s="19">
        <f t="shared" si="47"/>
        <v>66.491986944197606</v>
      </c>
      <c r="AE73" s="23">
        <f t="shared" si="37"/>
        <v>1044.0509869441976</v>
      </c>
      <c r="AF73" s="27">
        <f>(1/(2*LOG(3.7*$I73/'Calculation Constants'!$B$4*1000)))^2</f>
        <v>1.1458969193927592E-2</v>
      </c>
      <c r="AG73" s="19">
        <f t="shared" si="38"/>
        <v>1.274999100520025</v>
      </c>
      <c r="AH73" s="19">
        <f>IF($H73&gt;0,'Calculation Constants'!$B$9*Hydraulics!$K73^2/2/9.81/MAX($F$4:$F$253)*$H73,"")</f>
        <v>6.3421890311175441E-2</v>
      </c>
      <c r="AI73" s="19">
        <f t="shared" si="48"/>
        <v>1.3384209908312004</v>
      </c>
      <c r="AJ73" s="19">
        <f t="shared" si="39"/>
        <v>0</v>
      </c>
      <c r="AK73" s="19">
        <f t="shared" si="49"/>
        <v>55.144161540952837</v>
      </c>
      <c r="AL73" s="23">
        <f t="shared" si="40"/>
        <v>1032.7031615409528</v>
      </c>
      <c r="AM73" s="22">
        <f>(1/(2*LOG(3.7*($I73-0.008)/'Calculation Constants'!$B$5*1000)))^2</f>
        <v>1.4542845531075887E-2</v>
      </c>
      <c r="AN73" s="19">
        <f t="shared" si="50"/>
        <v>1.6249731396833385</v>
      </c>
      <c r="AO73" s="19">
        <f>IF($H73&gt;0,'Calculation Constants'!$B$9*Hydraulics!$K73^2/2/9.81/MAX($F$4:$F$253)*$H73,"")</f>
        <v>6.3421890311175441E-2</v>
      </c>
      <c r="AP73" s="19">
        <f t="shared" si="51"/>
        <v>1.6883950299945139</v>
      </c>
      <c r="AQ73" s="19">
        <f t="shared" si="41"/>
        <v>0</v>
      </c>
      <c r="AR73" s="19">
        <f t="shared" si="52"/>
        <v>34.49569323032074</v>
      </c>
      <c r="AS73" s="23">
        <f t="shared" si="42"/>
        <v>1012.0546932303207</v>
      </c>
    </row>
    <row r="74" spans="5:45">
      <c r="E74" s="35" t="str">
        <f t="shared" si="28"/>
        <v/>
      </c>
      <c r="F74" s="19">
        <f>'Profile data'!A74</f>
        <v>142</v>
      </c>
      <c r="G74" s="19">
        <f>VLOOKUP(F74,'Profile data'!A74:C333,IF($B$22="Botswana 1",2,3))</f>
        <v>975.28899999999999</v>
      </c>
      <c r="H74" s="19">
        <f t="shared" si="53"/>
        <v>2</v>
      </c>
      <c r="I74" s="19">
        <v>1.9</v>
      </c>
      <c r="J74" s="36">
        <f>'Flow Rate Calculations'!$B$7</f>
        <v>4.0831050228310497</v>
      </c>
      <c r="K74" s="36">
        <f t="shared" si="43"/>
        <v>1.440102709245225</v>
      </c>
      <c r="L74" s="37">
        <f>$I74*$K74/'Calculation Constants'!$B$7</f>
        <v>2421411.6350140949</v>
      </c>
      <c r="M74" s="37">
        <f t="shared" si="29"/>
        <v>136.38100000000009</v>
      </c>
      <c r="N74" s="23">
        <f t="shared" si="44"/>
        <v>74.694976095710217</v>
      </c>
      <c r="O74" s="55">
        <f t="shared" si="30"/>
        <v>136.38100000000009</v>
      </c>
      <c r="P74" s="64">
        <f>MAX(I74*1000/'Calculation Constants'!$B$14,O74*10*I74*1000/2/('Calculation Constants'!$B$12*1000*'Calculation Constants'!$B$13))</f>
        <v>11.875</v>
      </c>
      <c r="Q74" s="66">
        <f t="shared" si="31"/>
        <v>1105894.9783427313</v>
      </c>
      <c r="R74" s="27">
        <f>(1/(2*LOG(3.7*$I74/'Calculation Constants'!$B$2*1000)))^2</f>
        <v>8.6699836115820689E-3</v>
      </c>
      <c r="S74" s="19">
        <f t="shared" si="45"/>
        <v>0.96467850809376621</v>
      </c>
      <c r="T74" s="19">
        <f>IF($H74&gt;0,'Calculation Constants'!$B$9*Hydraulics!$K74^2/2/9.81/MAX($F$4:$F$253)*$H74,"")</f>
        <v>6.3421890311175441E-2</v>
      </c>
      <c r="U74" s="19">
        <f t="shared" si="46"/>
        <v>1.0281003984049417</v>
      </c>
      <c r="V74" s="19">
        <f t="shared" si="32"/>
        <v>0</v>
      </c>
      <c r="W74" s="19">
        <f t="shared" si="33"/>
        <v>74.694976095710217</v>
      </c>
      <c r="X74" s="23">
        <f t="shared" si="34"/>
        <v>1049.9839760957102</v>
      </c>
      <c r="Y74" s="22">
        <f>(1/(2*LOG(3.7*$I74/'Calculation Constants'!$B$3*1000)))^2</f>
        <v>9.7303620360708887E-3</v>
      </c>
      <c r="Z74" s="19">
        <f t="shared" si="35"/>
        <v>1.0826630767363397</v>
      </c>
      <c r="AA74" s="19">
        <f>IF($H74&gt;0,'Calculation Constants'!$B$9*Hydraulics!$K74^2/2/9.81/MAX($F$4:$F$253)*$H74,"")</f>
        <v>6.3421890311175441E-2</v>
      </c>
      <c r="AB74" s="19">
        <f t="shared" si="54"/>
        <v>1.1460849670475151</v>
      </c>
      <c r="AC74" s="19">
        <f t="shared" si="36"/>
        <v>0</v>
      </c>
      <c r="AD74" s="19">
        <f t="shared" si="47"/>
        <v>67.615901977150088</v>
      </c>
      <c r="AE74" s="23">
        <f t="shared" si="37"/>
        <v>1042.9049019771501</v>
      </c>
      <c r="AF74" s="27">
        <f>(1/(2*LOG(3.7*$I74/'Calculation Constants'!$B$4*1000)))^2</f>
        <v>1.1458969193927592E-2</v>
      </c>
      <c r="AG74" s="19">
        <f t="shared" si="38"/>
        <v>1.274999100520025</v>
      </c>
      <c r="AH74" s="19">
        <f>IF($H74&gt;0,'Calculation Constants'!$B$9*Hydraulics!$K74^2/2/9.81/MAX($F$4:$F$253)*$H74,"")</f>
        <v>6.3421890311175441E-2</v>
      </c>
      <c r="AI74" s="19">
        <f t="shared" si="48"/>
        <v>1.3384209908312004</v>
      </c>
      <c r="AJ74" s="19">
        <f t="shared" si="39"/>
        <v>0</v>
      </c>
      <c r="AK74" s="19">
        <f t="shared" si="49"/>
        <v>56.075740550121509</v>
      </c>
      <c r="AL74" s="23">
        <f t="shared" si="40"/>
        <v>1031.3647405501215</v>
      </c>
      <c r="AM74" s="22">
        <f>(1/(2*LOG(3.7*($I74-0.008)/'Calculation Constants'!$B$5*1000)))^2</f>
        <v>1.4542845531075887E-2</v>
      </c>
      <c r="AN74" s="19">
        <f t="shared" si="50"/>
        <v>1.6249731396833385</v>
      </c>
      <c r="AO74" s="19">
        <f>IF($H74&gt;0,'Calculation Constants'!$B$9*Hydraulics!$K74^2/2/9.81/MAX($F$4:$F$253)*$H74,"")</f>
        <v>6.3421890311175441E-2</v>
      </c>
      <c r="AP74" s="19">
        <f t="shared" si="51"/>
        <v>1.6883950299945139</v>
      </c>
      <c r="AQ74" s="19">
        <f t="shared" si="41"/>
        <v>0</v>
      </c>
      <c r="AR74" s="19">
        <f t="shared" si="52"/>
        <v>35.077298200326254</v>
      </c>
      <c r="AS74" s="23">
        <f t="shared" si="42"/>
        <v>1010.3662982003262</v>
      </c>
    </row>
    <row r="75" spans="5:45">
      <c r="E75" s="35" t="str">
        <f t="shared" si="28"/>
        <v/>
      </c>
      <c r="F75" s="19">
        <f>'Profile data'!A75</f>
        <v>144</v>
      </c>
      <c r="G75" s="19">
        <f>VLOOKUP(F75,'Profile data'!A75:C334,IF($B$22="Botswana 1",2,3))</f>
        <v>973.96799999999996</v>
      </c>
      <c r="H75" s="19">
        <f t="shared" si="53"/>
        <v>2</v>
      </c>
      <c r="I75" s="19">
        <v>1.9</v>
      </c>
      <c r="J75" s="36">
        <f>'Flow Rate Calculations'!$B$7</f>
        <v>4.0831050228310497</v>
      </c>
      <c r="K75" s="36">
        <f t="shared" si="43"/>
        <v>1.440102709245225</v>
      </c>
      <c r="L75" s="37">
        <f>$I75*$K75/'Calculation Constants'!$B$7</f>
        <v>2421411.6350140949</v>
      </c>
      <c r="M75" s="37">
        <f t="shared" si="29"/>
        <v>137.70200000000011</v>
      </c>
      <c r="N75" s="23">
        <f t="shared" si="44"/>
        <v>74.987875697305412</v>
      </c>
      <c r="O75" s="55">
        <f t="shared" si="30"/>
        <v>137.70200000000011</v>
      </c>
      <c r="P75" s="64">
        <f>MAX(I75*1000/'Calculation Constants'!$B$14,O75*10*I75*1000/2/('Calculation Constants'!$B$12*1000*'Calculation Constants'!$B$13))</f>
        <v>11.875</v>
      </c>
      <c r="Q75" s="66">
        <f t="shared" si="31"/>
        <v>1105894.9783427313</v>
      </c>
      <c r="R75" s="27">
        <f>(1/(2*LOG(3.7*$I75/'Calculation Constants'!$B$2*1000)))^2</f>
        <v>8.6699836115820689E-3</v>
      </c>
      <c r="S75" s="19">
        <f t="shared" si="45"/>
        <v>0.96467850809376621</v>
      </c>
      <c r="T75" s="19">
        <f>IF($H75&gt;0,'Calculation Constants'!$B$9*Hydraulics!$K75^2/2/9.81/MAX($F$4:$F$253)*$H75,"")</f>
        <v>6.3421890311175441E-2</v>
      </c>
      <c r="U75" s="19">
        <f t="shared" si="46"/>
        <v>1.0281003984049417</v>
      </c>
      <c r="V75" s="19">
        <f t="shared" si="32"/>
        <v>0</v>
      </c>
      <c r="W75" s="19">
        <f t="shared" si="33"/>
        <v>74.987875697305412</v>
      </c>
      <c r="X75" s="23">
        <f t="shared" si="34"/>
        <v>1048.9558756973054</v>
      </c>
      <c r="Y75" s="22">
        <f>(1/(2*LOG(3.7*$I75/'Calculation Constants'!$B$3*1000)))^2</f>
        <v>9.7303620360708887E-3</v>
      </c>
      <c r="Z75" s="19">
        <f t="shared" si="35"/>
        <v>1.0826630767363397</v>
      </c>
      <c r="AA75" s="19">
        <f>IF($H75&gt;0,'Calculation Constants'!$B$9*Hydraulics!$K75^2/2/9.81/MAX($F$4:$F$253)*$H75,"")</f>
        <v>6.3421890311175441E-2</v>
      </c>
      <c r="AB75" s="19">
        <f t="shared" si="54"/>
        <v>1.1460849670475151</v>
      </c>
      <c r="AC75" s="19">
        <f t="shared" si="36"/>
        <v>0</v>
      </c>
      <c r="AD75" s="19">
        <f t="shared" si="47"/>
        <v>67.790817010102614</v>
      </c>
      <c r="AE75" s="23">
        <f t="shared" si="37"/>
        <v>1041.7588170101026</v>
      </c>
      <c r="AF75" s="27">
        <f>(1/(2*LOG(3.7*$I75/'Calculation Constants'!$B$4*1000)))^2</f>
        <v>1.1458969193927592E-2</v>
      </c>
      <c r="AG75" s="19">
        <f t="shared" si="38"/>
        <v>1.274999100520025</v>
      </c>
      <c r="AH75" s="19">
        <f>IF($H75&gt;0,'Calculation Constants'!$B$9*Hydraulics!$K75^2/2/9.81/MAX($F$4:$F$253)*$H75,"")</f>
        <v>6.3421890311175441E-2</v>
      </c>
      <c r="AI75" s="19">
        <f t="shared" si="48"/>
        <v>1.3384209908312004</v>
      </c>
      <c r="AJ75" s="19">
        <f t="shared" si="39"/>
        <v>0</v>
      </c>
      <c r="AK75" s="19">
        <f t="shared" si="49"/>
        <v>56.058319559290226</v>
      </c>
      <c r="AL75" s="23">
        <f t="shared" si="40"/>
        <v>1030.0263195592902</v>
      </c>
      <c r="AM75" s="22">
        <f>(1/(2*LOG(3.7*($I75-0.008)/'Calculation Constants'!$B$5*1000)))^2</f>
        <v>1.4542845531075887E-2</v>
      </c>
      <c r="AN75" s="19">
        <f t="shared" si="50"/>
        <v>1.6249731396833385</v>
      </c>
      <c r="AO75" s="19">
        <f>IF($H75&gt;0,'Calculation Constants'!$B$9*Hydraulics!$K75^2/2/9.81/MAX($F$4:$F$253)*$H75,"")</f>
        <v>6.3421890311175441E-2</v>
      </c>
      <c r="AP75" s="19">
        <f t="shared" si="51"/>
        <v>1.6883950299945139</v>
      </c>
      <c r="AQ75" s="19">
        <f t="shared" si="41"/>
        <v>0</v>
      </c>
      <c r="AR75" s="19">
        <f t="shared" si="52"/>
        <v>34.709903170331813</v>
      </c>
      <c r="AS75" s="23">
        <f t="shared" si="42"/>
        <v>1008.6779031703318</v>
      </c>
    </row>
    <row r="76" spans="5:45">
      <c r="E76" s="35" t="str">
        <f t="shared" si="28"/>
        <v/>
      </c>
      <c r="F76" s="19">
        <f>'Profile data'!A76</f>
        <v>146</v>
      </c>
      <c r="G76" s="19">
        <f>VLOOKUP(F76,'Profile data'!A76:C335,IF($B$22="Botswana 1",2,3))</f>
        <v>962.47299999999996</v>
      </c>
      <c r="H76" s="19">
        <f t="shared" si="53"/>
        <v>2</v>
      </c>
      <c r="I76" s="19">
        <v>1.9</v>
      </c>
      <c r="J76" s="36">
        <f>'Flow Rate Calculations'!$B$7</f>
        <v>4.0831050228310497</v>
      </c>
      <c r="K76" s="36">
        <f t="shared" si="43"/>
        <v>1.440102709245225</v>
      </c>
      <c r="L76" s="37">
        <f>$I76*$K76/'Calculation Constants'!$B$7</f>
        <v>2421411.6350140949</v>
      </c>
      <c r="M76" s="37">
        <f t="shared" si="29"/>
        <v>149.19700000000012</v>
      </c>
      <c r="N76" s="23">
        <f t="shared" si="44"/>
        <v>85.454775298900586</v>
      </c>
      <c r="O76" s="55">
        <f t="shared" si="30"/>
        <v>149.19700000000012</v>
      </c>
      <c r="P76" s="64">
        <f>MAX(I76*1000/'Calculation Constants'!$B$14,O76*10*I76*1000/2/('Calculation Constants'!$B$12*1000*'Calculation Constants'!$B$13))</f>
        <v>11.875</v>
      </c>
      <c r="Q76" s="66">
        <f t="shared" si="31"/>
        <v>1105894.9783427313</v>
      </c>
      <c r="R76" s="27">
        <f>(1/(2*LOG(3.7*$I76/'Calculation Constants'!$B$2*1000)))^2</f>
        <v>8.6699836115820689E-3</v>
      </c>
      <c r="S76" s="19">
        <f t="shared" si="45"/>
        <v>0.96467850809376621</v>
      </c>
      <c r="T76" s="19">
        <f>IF($H76&gt;0,'Calculation Constants'!$B$9*Hydraulics!$K76^2/2/9.81/MAX($F$4:$F$253)*$H76,"")</f>
        <v>6.3421890311175441E-2</v>
      </c>
      <c r="U76" s="19">
        <f t="shared" si="46"/>
        <v>1.0281003984049417</v>
      </c>
      <c r="V76" s="19">
        <f t="shared" si="32"/>
        <v>0</v>
      </c>
      <c r="W76" s="19">
        <f t="shared" si="33"/>
        <v>85.454775298900586</v>
      </c>
      <c r="X76" s="23">
        <f t="shared" si="34"/>
        <v>1047.9277752989005</v>
      </c>
      <c r="Y76" s="22">
        <f>(1/(2*LOG(3.7*$I76/'Calculation Constants'!$B$3*1000)))^2</f>
        <v>9.7303620360708887E-3</v>
      </c>
      <c r="Z76" s="19">
        <f t="shared" si="35"/>
        <v>1.0826630767363397</v>
      </c>
      <c r="AA76" s="19">
        <f>IF($H76&gt;0,'Calculation Constants'!$B$9*Hydraulics!$K76^2/2/9.81/MAX($F$4:$F$253)*$H76,"")</f>
        <v>6.3421890311175441E-2</v>
      </c>
      <c r="AB76" s="19">
        <f t="shared" si="54"/>
        <v>1.1460849670475151</v>
      </c>
      <c r="AC76" s="19">
        <f t="shared" si="36"/>
        <v>0</v>
      </c>
      <c r="AD76" s="19">
        <f t="shared" si="47"/>
        <v>78.139732043055119</v>
      </c>
      <c r="AE76" s="23">
        <f t="shared" si="37"/>
        <v>1040.6127320430551</v>
      </c>
      <c r="AF76" s="27">
        <f>(1/(2*LOG(3.7*$I76/'Calculation Constants'!$B$4*1000)))^2</f>
        <v>1.1458969193927592E-2</v>
      </c>
      <c r="AG76" s="19">
        <f t="shared" si="38"/>
        <v>1.274999100520025</v>
      </c>
      <c r="AH76" s="19">
        <f>IF($H76&gt;0,'Calculation Constants'!$B$9*Hydraulics!$K76^2/2/9.81/MAX($F$4:$F$253)*$H76,"")</f>
        <v>6.3421890311175441E-2</v>
      </c>
      <c r="AI76" s="19">
        <f t="shared" si="48"/>
        <v>1.3384209908312004</v>
      </c>
      <c r="AJ76" s="19">
        <f t="shared" si="39"/>
        <v>0</v>
      </c>
      <c r="AK76" s="19">
        <f t="shared" si="49"/>
        <v>66.214898568458921</v>
      </c>
      <c r="AL76" s="23">
        <f t="shared" si="40"/>
        <v>1028.6878985684589</v>
      </c>
      <c r="AM76" s="22">
        <f>(1/(2*LOG(3.7*($I76-0.008)/'Calculation Constants'!$B$5*1000)))^2</f>
        <v>1.4542845531075887E-2</v>
      </c>
      <c r="AN76" s="19">
        <f t="shared" si="50"/>
        <v>1.6249731396833385</v>
      </c>
      <c r="AO76" s="19">
        <f>IF($H76&gt;0,'Calculation Constants'!$B$9*Hydraulics!$K76^2/2/9.81/MAX($F$4:$F$253)*$H76,"")</f>
        <v>6.3421890311175441E-2</v>
      </c>
      <c r="AP76" s="19">
        <f t="shared" si="51"/>
        <v>1.6883950299945139</v>
      </c>
      <c r="AQ76" s="19">
        <f t="shared" si="41"/>
        <v>0</v>
      </c>
      <c r="AR76" s="19">
        <f t="shared" si="52"/>
        <v>44.516508140337351</v>
      </c>
      <c r="AS76" s="23">
        <f t="shared" si="42"/>
        <v>1006.9895081403373</v>
      </c>
    </row>
    <row r="77" spans="5:45">
      <c r="E77" s="35" t="str">
        <f t="shared" si="28"/>
        <v/>
      </c>
      <c r="F77" s="19">
        <f>'Profile data'!A77</f>
        <v>148</v>
      </c>
      <c r="G77" s="19">
        <f>VLOOKUP(F77,'Profile data'!A77:C336,IF($B$22="Botswana 1",2,3))</f>
        <v>951.28499999999997</v>
      </c>
      <c r="H77" s="19">
        <f t="shared" si="53"/>
        <v>2</v>
      </c>
      <c r="I77" s="19">
        <v>1.9</v>
      </c>
      <c r="J77" s="36">
        <f>'Flow Rate Calculations'!$B$7</f>
        <v>4.0831050228310497</v>
      </c>
      <c r="K77" s="36">
        <f t="shared" si="43"/>
        <v>1.440102709245225</v>
      </c>
      <c r="L77" s="37">
        <f>$I77*$K77/'Calculation Constants'!$B$7</f>
        <v>2421411.6350140949</v>
      </c>
      <c r="M77" s="37">
        <f t="shared" si="29"/>
        <v>160.3850000000001</v>
      </c>
      <c r="N77" s="23">
        <f t="shared" si="44"/>
        <v>95.614674900495743</v>
      </c>
      <c r="O77" s="55">
        <f t="shared" si="30"/>
        <v>160.3850000000001</v>
      </c>
      <c r="P77" s="64">
        <f>MAX(I77*1000/'Calculation Constants'!$B$14,O77*10*I77*1000/2/('Calculation Constants'!$B$12*1000*'Calculation Constants'!$B$13))</f>
        <v>11.875</v>
      </c>
      <c r="Q77" s="66">
        <f t="shared" si="31"/>
        <v>1105894.9783427313</v>
      </c>
      <c r="R77" s="27">
        <f>(1/(2*LOG(3.7*$I77/'Calculation Constants'!$B$2*1000)))^2</f>
        <v>8.6699836115820689E-3</v>
      </c>
      <c r="S77" s="19">
        <f t="shared" si="45"/>
        <v>0.96467850809376621</v>
      </c>
      <c r="T77" s="19">
        <f>IF($H77&gt;0,'Calculation Constants'!$B$9*Hydraulics!$K77^2/2/9.81/MAX($F$4:$F$253)*$H77,"")</f>
        <v>6.3421890311175441E-2</v>
      </c>
      <c r="U77" s="19">
        <f t="shared" si="46"/>
        <v>1.0281003984049417</v>
      </c>
      <c r="V77" s="19">
        <f t="shared" si="32"/>
        <v>0</v>
      </c>
      <c r="W77" s="19">
        <f t="shared" si="33"/>
        <v>95.614674900495743</v>
      </c>
      <c r="X77" s="23">
        <f t="shared" si="34"/>
        <v>1046.8996749004957</v>
      </c>
      <c r="Y77" s="22">
        <f>(1/(2*LOG(3.7*$I77/'Calculation Constants'!$B$3*1000)))^2</f>
        <v>9.7303620360708887E-3</v>
      </c>
      <c r="Z77" s="19">
        <f t="shared" si="35"/>
        <v>1.0826630767363397</v>
      </c>
      <c r="AA77" s="19">
        <f>IF($H77&gt;0,'Calculation Constants'!$B$9*Hydraulics!$K77^2/2/9.81/MAX($F$4:$F$253)*$H77,"")</f>
        <v>6.3421890311175441E-2</v>
      </c>
      <c r="AB77" s="19">
        <f t="shared" si="54"/>
        <v>1.1460849670475151</v>
      </c>
      <c r="AC77" s="19">
        <f t="shared" si="36"/>
        <v>0</v>
      </c>
      <c r="AD77" s="19">
        <f t="shared" si="47"/>
        <v>88.181647076007607</v>
      </c>
      <c r="AE77" s="23">
        <f t="shared" si="37"/>
        <v>1039.4666470760076</v>
      </c>
      <c r="AF77" s="27">
        <f>(1/(2*LOG(3.7*$I77/'Calculation Constants'!$B$4*1000)))^2</f>
        <v>1.1458969193927592E-2</v>
      </c>
      <c r="AG77" s="19">
        <f t="shared" si="38"/>
        <v>1.274999100520025</v>
      </c>
      <c r="AH77" s="19">
        <f>IF($H77&gt;0,'Calculation Constants'!$B$9*Hydraulics!$K77^2/2/9.81/MAX($F$4:$F$253)*$H77,"")</f>
        <v>6.3421890311175441E-2</v>
      </c>
      <c r="AI77" s="19">
        <f t="shared" si="48"/>
        <v>1.3384209908312004</v>
      </c>
      <c r="AJ77" s="19">
        <f t="shared" si="39"/>
        <v>0</v>
      </c>
      <c r="AK77" s="19">
        <f t="shared" si="49"/>
        <v>76.064477577627599</v>
      </c>
      <c r="AL77" s="23">
        <f t="shared" si="40"/>
        <v>1027.3494775776276</v>
      </c>
      <c r="AM77" s="22">
        <f>(1/(2*LOG(3.7*($I77-0.008)/'Calculation Constants'!$B$5*1000)))^2</f>
        <v>1.4542845531075887E-2</v>
      </c>
      <c r="AN77" s="19">
        <f t="shared" si="50"/>
        <v>1.6249731396833385</v>
      </c>
      <c r="AO77" s="19">
        <f>IF($H77&gt;0,'Calculation Constants'!$B$9*Hydraulics!$K77^2/2/9.81/MAX($F$4:$F$253)*$H77,"")</f>
        <v>6.3421890311175441E-2</v>
      </c>
      <c r="AP77" s="19">
        <f t="shared" si="51"/>
        <v>1.6883950299945139</v>
      </c>
      <c r="AQ77" s="19">
        <f t="shared" si="41"/>
        <v>0</v>
      </c>
      <c r="AR77" s="19">
        <f t="shared" si="52"/>
        <v>54.016113110342872</v>
      </c>
      <c r="AS77" s="23">
        <f t="shared" si="42"/>
        <v>1005.3011131103428</v>
      </c>
    </row>
    <row r="78" spans="5:45">
      <c r="E78" s="35" t="str">
        <f t="shared" si="28"/>
        <v/>
      </c>
      <c r="F78" s="19">
        <f>'Profile data'!A78</f>
        <v>150</v>
      </c>
      <c r="G78" s="19">
        <f>VLOOKUP(F78,'Profile data'!A78:C337,IF($B$22="Botswana 1",2,3))</f>
        <v>948.17399999999998</v>
      </c>
      <c r="H78" s="19">
        <f t="shared" si="53"/>
        <v>2</v>
      </c>
      <c r="I78" s="19">
        <v>1.9</v>
      </c>
      <c r="J78" s="36">
        <f>'Flow Rate Calculations'!$B$7</f>
        <v>4.0831050228310497</v>
      </c>
      <c r="K78" s="36">
        <f t="shared" si="43"/>
        <v>1.440102709245225</v>
      </c>
      <c r="L78" s="37">
        <f>$I78*$K78/'Calculation Constants'!$B$7</f>
        <v>2421411.6350140949</v>
      </c>
      <c r="M78" s="37">
        <f t="shared" si="29"/>
        <v>163.49600000000009</v>
      </c>
      <c r="N78" s="23">
        <f t="shared" si="44"/>
        <v>97.697574502090902</v>
      </c>
      <c r="O78" s="55">
        <f t="shared" si="30"/>
        <v>163.49600000000009</v>
      </c>
      <c r="P78" s="64">
        <f>MAX(I78*1000/'Calculation Constants'!$B$14,O78*10*I78*1000/2/('Calculation Constants'!$B$12*1000*'Calculation Constants'!$B$13))</f>
        <v>11.875</v>
      </c>
      <c r="Q78" s="66">
        <f t="shared" si="31"/>
        <v>1105894.9783427313</v>
      </c>
      <c r="R78" s="27">
        <f>(1/(2*LOG(3.7*$I78/'Calculation Constants'!$B$2*1000)))^2</f>
        <v>8.6699836115820689E-3</v>
      </c>
      <c r="S78" s="19">
        <f t="shared" si="45"/>
        <v>0.96467850809376621</v>
      </c>
      <c r="T78" s="19">
        <f>IF($H78&gt;0,'Calculation Constants'!$B$9*Hydraulics!$K78^2/2/9.81/MAX($F$4:$F$253)*$H78,"")</f>
        <v>6.3421890311175441E-2</v>
      </c>
      <c r="U78" s="19">
        <f t="shared" si="46"/>
        <v>1.0281003984049417</v>
      </c>
      <c r="V78" s="19">
        <f t="shared" si="32"/>
        <v>0</v>
      </c>
      <c r="W78" s="19">
        <f t="shared" si="33"/>
        <v>97.697574502090902</v>
      </c>
      <c r="X78" s="23">
        <f t="shared" si="34"/>
        <v>1045.8715745020909</v>
      </c>
      <c r="Y78" s="22">
        <f>(1/(2*LOG(3.7*$I78/'Calculation Constants'!$B$3*1000)))^2</f>
        <v>9.7303620360708887E-3</v>
      </c>
      <c r="Z78" s="19">
        <f t="shared" si="35"/>
        <v>1.0826630767363397</v>
      </c>
      <c r="AA78" s="19">
        <f>IF($H78&gt;0,'Calculation Constants'!$B$9*Hydraulics!$K78^2/2/9.81/MAX($F$4:$F$253)*$H78,"")</f>
        <v>6.3421890311175441E-2</v>
      </c>
      <c r="AB78" s="19">
        <f t="shared" si="54"/>
        <v>1.1460849670475151</v>
      </c>
      <c r="AC78" s="19">
        <f t="shared" si="36"/>
        <v>0</v>
      </c>
      <c r="AD78" s="19">
        <f t="shared" si="47"/>
        <v>90.146562108960097</v>
      </c>
      <c r="AE78" s="23">
        <f t="shared" si="37"/>
        <v>1038.3205621089601</v>
      </c>
      <c r="AF78" s="27">
        <f>(1/(2*LOG(3.7*$I78/'Calculation Constants'!$B$4*1000)))^2</f>
        <v>1.1458969193927592E-2</v>
      </c>
      <c r="AG78" s="19">
        <f t="shared" si="38"/>
        <v>1.274999100520025</v>
      </c>
      <c r="AH78" s="19">
        <f>IF($H78&gt;0,'Calculation Constants'!$B$9*Hydraulics!$K78^2/2/9.81/MAX($F$4:$F$253)*$H78,"")</f>
        <v>6.3421890311175441E-2</v>
      </c>
      <c r="AI78" s="19">
        <f t="shared" si="48"/>
        <v>1.3384209908312004</v>
      </c>
      <c r="AJ78" s="19">
        <f t="shared" si="39"/>
        <v>0</v>
      </c>
      <c r="AK78" s="19">
        <f t="shared" si="49"/>
        <v>77.83705658679628</v>
      </c>
      <c r="AL78" s="23">
        <f t="shared" si="40"/>
        <v>1026.0110565867963</v>
      </c>
      <c r="AM78" s="22">
        <f>(1/(2*LOG(3.7*($I78-0.008)/'Calculation Constants'!$B$5*1000)))^2</f>
        <v>1.4542845531075887E-2</v>
      </c>
      <c r="AN78" s="19">
        <f t="shared" si="50"/>
        <v>1.6249731396833385</v>
      </c>
      <c r="AO78" s="19">
        <f>IF($H78&gt;0,'Calculation Constants'!$B$9*Hydraulics!$K78^2/2/9.81/MAX($F$4:$F$253)*$H78,"")</f>
        <v>6.3421890311175441E-2</v>
      </c>
      <c r="AP78" s="19">
        <f t="shared" si="51"/>
        <v>1.6883950299945139</v>
      </c>
      <c r="AQ78" s="19">
        <f t="shared" si="41"/>
        <v>0</v>
      </c>
      <c r="AR78" s="19">
        <f t="shared" si="52"/>
        <v>55.438718080348394</v>
      </c>
      <c r="AS78" s="23">
        <f t="shared" si="42"/>
        <v>1003.6127180803484</v>
      </c>
    </row>
    <row r="79" spans="5:45">
      <c r="E79" s="35" t="str">
        <f t="shared" si="28"/>
        <v/>
      </c>
      <c r="F79" s="19">
        <f>'Profile data'!A79</f>
        <v>152</v>
      </c>
      <c r="G79" s="19">
        <f>VLOOKUP(F79,'Profile data'!A79:C338,IF($B$22="Botswana 1",2,3))</f>
        <v>944.64099999999996</v>
      </c>
      <c r="H79" s="19">
        <f t="shared" si="53"/>
        <v>2</v>
      </c>
      <c r="I79" s="19">
        <v>1.9</v>
      </c>
      <c r="J79" s="36">
        <f>'Flow Rate Calculations'!$B$7</f>
        <v>4.0831050228310497</v>
      </c>
      <c r="K79" s="36">
        <f t="shared" si="43"/>
        <v>1.440102709245225</v>
      </c>
      <c r="L79" s="37">
        <f>$I79*$K79/'Calculation Constants'!$B$7</f>
        <v>2421411.6350140949</v>
      </c>
      <c r="M79" s="37">
        <f t="shared" si="29"/>
        <v>167.02900000000011</v>
      </c>
      <c r="N79" s="23">
        <f t="shared" si="44"/>
        <v>100.20247410368609</v>
      </c>
      <c r="O79" s="55">
        <f t="shared" si="30"/>
        <v>167.02900000000011</v>
      </c>
      <c r="P79" s="64">
        <f>MAX(I79*1000/'Calculation Constants'!$B$14,O79*10*I79*1000/2/('Calculation Constants'!$B$12*1000*'Calculation Constants'!$B$13))</f>
        <v>11.875</v>
      </c>
      <c r="Q79" s="66">
        <f t="shared" si="31"/>
        <v>1105894.9783427313</v>
      </c>
      <c r="R79" s="27">
        <f>(1/(2*LOG(3.7*$I79/'Calculation Constants'!$B$2*1000)))^2</f>
        <v>8.6699836115820689E-3</v>
      </c>
      <c r="S79" s="19">
        <f t="shared" si="45"/>
        <v>0.96467850809376621</v>
      </c>
      <c r="T79" s="19">
        <f>IF($H79&gt;0,'Calculation Constants'!$B$9*Hydraulics!$K79^2/2/9.81/MAX($F$4:$F$253)*$H79,"")</f>
        <v>6.3421890311175441E-2</v>
      </c>
      <c r="U79" s="19">
        <f t="shared" si="46"/>
        <v>1.0281003984049417</v>
      </c>
      <c r="V79" s="19">
        <f t="shared" si="32"/>
        <v>0</v>
      </c>
      <c r="W79" s="19">
        <f t="shared" si="33"/>
        <v>100.20247410368609</v>
      </c>
      <c r="X79" s="23">
        <f t="shared" si="34"/>
        <v>1044.843474103686</v>
      </c>
      <c r="Y79" s="22">
        <f>(1/(2*LOG(3.7*$I79/'Calculation Constants'!$B$3*1000)))^2</f>
        <v>9.7303620360708887E-3</v>
      </c>
      <c r="Z79" s="19">
        <f t="shared" si="35"/>
        <v>1.0826630767363397</v>
      </c>
      <c r="AA79" s="19">
        <f>IF($H79&gt;0,'Calculation Constants'!$B$9*Hydraulics!$K79^2/2/9.81/MAX($F$4:$F$253)*$H79,"")</f>
        <v>6.3421890311175441E-2</v>
      </c>
      <c r="AB79" s="19">
        <f t="shared" si="54"/>
        <v>1.1460849670475151</v>
      </c>
      <c r="AC79" s="19">
        <f t="shared" si="36"/>
        <v>0</v>
      </c>
      <c r="AD79" s="19">
        <f t="shared" si="47"/>
        <v>92.533477141912613</v>
      </c>
      <c r="AE79" s="23">
        <f t="shared" si="37"/>
        <v>1037.1744771419126</v>
      </c>
      <c r="AF79" s="27">
        <f>(1/(2*LOG(3.7*$I79/'Calculation Constants'!$B$4*1000)))^2</f>
        <v>1.1458969193927592E-2</v>
      </c>
      <c r="AG79" s="19">
        <f t="shared" si="38"/>
        <v>1.274999100520025</v>
      </c>
      <c r="AH79" s="19">
        <f>IF($H79&gt;0,'Calculation Constants'!$B$9*Hydraulics!$K79^2/2/9.81/MAX($F$4:$F$253)*$H79,"")</f>
        <v>6.3421890311175441E-2</v>
      </c>
      <c r="AI79" s="19">
        <f t="shared" si="48"/>
        <v>1.3384209908312004</v>
      </c>
      <c r="AJ79" s="19">
        <f t="shared" si="39"/>
        <v>0</v>
      </c>
      <c r="AK79" s="19">
        <f t="shared" si="49"/>
        <v>80.031635595964985</v>
      </c>
      <c r="AL79" s="23">
        <f t="shared" si="40"/>
        <v>1024.6726355959649</v>
      </c>
      <c r="AM79" s="22">
        <f>(1/(2*LOG(3.7*($I79-0.008)/'Calculation Constants'!$B$5*1000)))^2</f>
        <v>1.4542845531075887E-2</v>
      </c>
      <c r="AN79" s="19">
        <f t="shared" si="50"/>
        <v>1.6249731396833385</v>
      </c>
      <c r="AO79" s="19">
        <f>IF($H79&gt;0,'Calculation Constants'!$B$9*Hydraulics!$K79^2/2/9.81/MAX($F$4:$F$253)*$H79,"")</f>
        <v>6.3421890311175441E-2</v>
      </c>
      <c r="AP79" s="19">
        <f t="shared" si="51"/>
        <v>1.6883950299945139</v>
      </c>
      <c r="AQ79" s="19">
        <f t="shared" si="41"/>
        <v>0</v>
      </c>
      <c r="AR79" s="19">
        <f t="shared" si="52"/>
        <v>57.283323050353943</v>
      </c>
      <c r="AS79" s="23">
        <f t="shared" si="42"/>
        <v>1001.9243230503539</v>
      </c>
    </row>
    <row r="80" spans="5:45">
      <c r="E80" s="35" t="str">
        <f t="shared" si="28"/>
        <v/>
      </c>
      <c r="F80" s="19">
        <f>'Profile data'!A80</f>
        <v>154</v>
      </c>
      <c r="G80" s="19">
        <f>VLOOKUP(F80,'Profile data'!A80:C339,IF($B$22="Botswana 1",2,3))</f>
        <v>941.56600000000003</v>
      </c>
      <c r="H80" s="19">
        <f t="shared" si="53"/>
        <v>2</v>
      </c>
      <c r="I80" s="19">
        <v>1.9</v>
      </c>
      <c r="J80" s="36">
        <f>'Flow Rate Calculations'!$B$7</f>
        <v>4.0831050228310497</v>
      </c>
      <c r="K80" s="36">
        <f t="shared" si="43"/>
        <v>1.440102709245225</v>
      </c>
      <c r="L80" s="37">
        <f>$I80*$K80/'Calculation Constants'!$B$7</f>
        <v>2421411.6350140949</v>
      </c>
      <c r="M80" s="37">
        <f t="shared" si="29"/>
        <v>170.10400000000004</v>
      </c>
      <c r="N80" s="23">
        <f t="shared" si="44"/>
        <v>102.24937370528119</v>
      </c>
      <c r="O80" s="55">
        <f t="shared" si="30"/>
        <v>170.10400000000004</v>
      </c>
      <c r="P80" s="64">
        <f>MAX(I80*1000/'Calculation Constants'!$B$14,O80*10*I80*1000/2/('Calculation Constants'!$B$12*1000*'Calculation Constants'!$B$13))</f>
        <v>11.875</v>
      </c>
      <c r="Q80" s="66">
        <f t="shared" si="31"/>
        <v>1105894.9783427313</v>
      </c>
      <c r="R80" s="27">
        <f>(1/(2*LOG(3.7*$I80/'Calculation Constants'!$B$2*1000)))^2</f>
        <v>8.6699836115820689E-3</v>
      </c>
      <c r="S80" s="19">
        <f t="shared" si="45"/>
        <v>0.96467850809376621</v>
      </c>
      <c r="T80" s="19">
        <f>IF($H80&gt;0,'Calculation Constants'!$B$9*Hydraulics!$K80^2/2/9.81/MAX($F$4:$F$253)*$H80,"")</f>
        <v>6.3421890311175441E-2</v>
      </c>
      <c r="U80" s="19">
        <f t="shared" si="46"/>
        <v>1.0281003984049417</v>
      </c>
      <c r="V80" s="19">
        <f t="shared" si="32"/>
        <v>0</v>
      </c>
      <c r="W80" s="19">
        <f t="shared" si="33"/>
        <v>102.24937370528119</v>
      </c>
      <c r="X80" s="23">
        <f t="shared" si="34"/>
        <v>1043.8153737052812</v>
      </c>
      <c r="Y80" s="22">
        <f>(1/(2*LOG(3.7*$I80/'Calculation Constants'!$B$3*1000)))^2</f>
        <v>9.7303620360708887E-3</v>
      </c>
      <c r="Z80" s="19">
        <f t="shared" si="35"/>
        <v>1.0826630767363397</v>
      </c>
      <c r="AA80" s="19">
        <f>IF($H80&gt;0,'Calculation Constants'!$B$9*Hydraulics!$K80^2/2/9.81/MAX($F$4:$F$253)*$H80,"")</f>
        <v>6.3421890311175441E-2</v>
      </c>
      <c r="AB80" s="19">
        <f t="shared" si="54"/>
        <v>1.1460849670475151</v>
      </c>
      <c r="AC80" s="19">
        <f t="shared" si="36"/>
        <v>0</v>
      </c>
      <c r="AD80" s="19">
        <f t="shared" si="47"/>
        <v>94.462392174865045</v>
      </c>
      <c r="AE80" s="23">
        <f t="shared" si="37"/>
        <v>1036.0283921748651</v>
      </c>
      <c r="AF80" s="27">
        <f>(1/(2*LOG(3.7*$I80/'Calculation Constants'!$B$4*1000)))^2</f>
        <v>1.1458969193927592E-2</v>
      </c>
      <c r="AG80" s="19">
        <f t="shared" si="38"/>
        <v>1.274999100520025</v>
      </c>
      <c r="AH80" s="19">
        <f>IF($H80&gt;0,'Calculation Constants'!$B$9*Hydraulics!$K80^2/2/9.81/MAX($F$4:$F$253)*$H80,"")</f>
        <v>6.3421890311175441E-2</v>
      </c>
      <c r="AI80" s="19">
        <f t="shared" si="48"/>
        <v>1.3384209908312004</v>
      </c>
      <c r="AJ80" s="19">
        <f t="shared" si="39"/>
        <v>0</v>
      </c>
      <c r="AK80" s="19">
        <f t="shared" si="49"/>
        <v>81.768214605133721</v>
      </c>
      <c r="AL80" s="23">
        <f t="shared" si="40"/>
        <v>1023.3342146051338</v>
      </c>
      <c r="AM80" s="22">
        <f>(1/(2*LOG(3.7*($I80-0.008)/'Calculation Constants'!$B$5*1000)))^2</f>
        <v>1.4542845531075887E-2</v>
      </c>
      <c r="AN80" s="19">
        <f t="shared" si="50"/>
        <v>1.6249731396833385</v>
      </c>
      <c r="AO80" s="19">
        <f>IF($H80&gt;0,'Calculation Constants'!$B$9*Hydraulics!$K80^2/2/9.81/MAX($F$4:$F$253)*$H80,"")</f>
        <v>6.3421890311175441E-2</v>
      </c>
      <c r="AP80" s="19">
        <f t="shared" si="51"/>
        <v>1.6883950299945139</v>
      </c>
      <c r="AQ80" s="19">
        <f t="shared" si="41"/>
        <v>0</v>
      </c>
      <c r="AR80" s="19">
        <f t="shared" si="52"/>
        <v>58.669928020359407</v>
      </c>
      <c r="AS80" s="23">
        <f t="shared" si="42"/>
        <v>1000.2359280203594</v>
      </c>
    </row>
    <row r="81" spans="5:45">
      <c r="E81" s="35" t="str">
        <f t="shared" si="28"/>
        <v/>
      </c>
      <c r="F81" s="19">
        <f>'Profile data'!A81</f>
        <v>156</v>
      </c>
      <c r="G81" s="19">
        <f>VLOOKUP(F81,'Profile data'!A81:C340,IF($B$22="Botswana 1",2,3))</f>
        <v>940.94200000000001</v>
      </c>
      <c r="H81" s="19">
        <f t="shared" si="53"/>
        <v>2</v>
      </c>
      <c r="I81" s="19">
        <v>1.9</v>
      </c>
      <c r="J81" s="36">
        <f>'Flow Rate Calculations'!$B$7</f>
        <v>4.0831050228310497</v>
      </c>
      <c r="K81" s="36">
        <f t="shared" si="43"/>
        <v>1.440102709245225</v>
      </c>
      <c r="L81" s="37">
        <f>$I81*$K81/'Calculation Constants'!$B$7</f>
        <v>2421411.6350140949</v>
      </c>
      <c r="M81" s="37">
        <f t="shared" si="29"/>
        <v>170.72800000000007</v>
      </c>
      <c r="N81" s="23">
        <f t="shared" si="44"/>
        <v>101.84527330687638</v>
      </c>
      <c r="O81" s="55">
        <f t="shared" si="30"/>
        <v>170.72800000000007</v>
      </c>
      <c r="P81" s="64">
        <f>MAX(I81*1000/'Calculation Constants'!$B$14,O81*10*I81*1000/2/('Calculation Constants'!$B$12*1000*'Calculation Constants'!$B$13))</f>
        <v>11.875</v>
      </c>
      <c r="Q81" s="66">
        <f t="shared" si="31"/>
        <v>1105894.9783427313</v>
      </c>
      <c r="R81" s="27">
        <f>(1/(2*LOG(3.7*$I81/'Calculation Constants'!$B$2*1000)))^2</f>
        <v>8.6699836115820689E-3</v>
      </c>
      <c r="S81" s="19">
        <f t="shared" si="45"/>
        <v>0.96467850809376621</v>
      </c>
      <c r="T81" s="19">
        <f>IF($H81&gt;0,'Calculation Constants'!$B$9*Hydraulics!$K81^2/2/9.81/MAX($F$4:$F$253)*$H81,"")</f>
        <v>6.3421890311175441E-2</v>
      </c>
      <c r="U81" s="19">
        <f t="shared" si="46"/>
        <v>1.0281003984049417</v>
      </c>
      <c r="V81" s="19">
        <f t="shared" si="32"/>
        <v>0</v>
      </c>
      <c r="W81" s="19">
        <f t="shared" si="33"/>
        <v>101.84527330687638</v>
      </c>
      <c r="X81" s="23">
        <f t="shared" si="34"/>
        <v>1042.7872733068764</v>
      </c>
      <c r="Y81" s="22">
        <f>(1/(2*LOG(3.7*$I81/'Calculation Constants'!$B$3*1000)))^2</f>
        <v>9.7303620360708887E-3</v>
      </c>
      <c r="Z81" s="19">
        <f t="shared" si="35"/>
        <v>1.0826630767363397</v>
      </c>
      <c r="AA81" s="19">
        <f>IF($H81&gt;0,'Calculation Constants'!$B$9*Hydraulics!$K81^2/2/9.81/MAX($F$4:$F$253)*$H81,"")</f>
        <v>6.3421890311175441E-2</v>
      </c>
      <c r="AB81" s="19">
        <f t="shared" si="54"/>
        <v>1.1460849670475151</v>
      </c>
      <c r="AC81" s="19">
        <f t="shared" si="36"/>
        <v>0</v>
      </c>
      <c r="AD81" s="19">
        <f t="shared" si="47"/>
        <v>93.940307207817568</v>
      </c>
      <c r="AE81" s="23">
        <f t="shared" si="37"/>
        <v>1034.8823072078176</v>
      </c>
      <c r="AF81" s="27">
        <f>(1/(2*LOG(3.7*$I81/'Calculation Constants'!$B$4*1000)))^2</f>
        <v>1.1458969193927592E-2</v>
      </c>
      <c r="AG81" s="19">
        <f t="shared" si="38"/>
        <v>1.274999100520025</v>
      </c>
      <c r="AH81" s="19">
        <f>IF($H81&gt;0,'Calculation Constants'!$B$9*Hydraulics!$K81^2/2/9.81/MAX($F$4:$F$253)*$H81,"")</f>
        <v>6.3421890311175441E-2</v>
      </c>
      <c r="AI81" s="19">
        <f t="shared" si="48"/>
        <v>1.3384209908312004</v>
      </c>
      <c r="AJ81" s="19">
        <f t="shared" si="39"/>
        <v>0</v>
      </c>
      <c r="AK81" s="19">
        <f t="shared" si="49"/>
        <v>81.053793614302549</v>
      </c>
      <c r="AL81" s="23">
        <f t="shared" si="40"/>
        <v>1021.9957936143026</v>
      </c>
      <c r="AM81" s="22">
        <f>(1/(2*LOG(3.7*($I81-0.008)/'Calculation Constants'!$B$5*1000)))^2</f>
        <v>1.4542845531075887E-2</v>
      </c>
      <c r="AN81" s="19">
        <f t="shared" si="50"/>
        <v>1.6249731396833385</v>
      </c>
      <c r="AO81" s="19">
        <f>IF($H81&gt;0,'Calculation Constants'!$B$9*Hydraulics!$K81^2/2/9.81/MAX($F$4:$F$253)*$H81,"")</f>
        <v>6.3421890311175441E-2</v>
      </c>
      <c r="AP81" s="19">
        <f t="shared" si="51"/>
        <v>1.6883950299945139</v>
      </c>
      <c r="AQ81" s="19">
        <f t="shared" si="41"/>
        <v>0</v>
      </c>
      <c r="AR81" s="19">
        <f t="shared" si="52"/>
        <v>57.605532990364964</v>
      </c>
      <c r="AS81" s="23">
        <f t="shared" si="42"/>
        <v>998.54753299036497</v>
      </c>
    </row>
    <row r="82" spans="5:45">
      <c r="E82" s="35" t="str">
        <f t="shared" si="28"/>
        <v/>
      </c>
      <c r="F82" s="19">
        <f>'Profile data'!A82</f>
        <v>158</v>
      </c>
      <c r="G82" s="19">
        <f>VLOOKUP(F82,'Profile data'!A82:C341,IF($B$22="Botswana 1",2,3))</f>
        <v>939.726</v>
      </c>
      <c r="H82" s="19">
        <f t="shared" si="53"/>
        <v>2</v>
      </c>
      <c r="I82" s="19">
        <v>1.9</v>
      </c>
      <c r="J82" s="36">
        <f>'Flow Rate Calculations'!$B$7</f>
        <v>4.0831050228310497</v>
      </c>
      <c r="K82" s="36">
        <f t="shared" si="43"/>
        <v>1.440102709245225</v>
      </c>
      <c r="L82" s="37">
        <f>$I82*$K82/'Calculation Constants'!$B$7</f>
        <v>2421411.6350140949</v>
      </c>
      <c r="M82" s="37">
        <f t="shared" si="29"/>
        <v>171.94400000000007</v>
      </c>
      <c r="N82" s="23">
        <f t="shared" si="44"/>
        <v>102.03317290847156</v>
      </c>
      <c r="O82" s="55">
        <f t="shared" si="30"/>
        <v>171.94400000000007</v>
      </c>
      <c r="P82" s="64">
        <f>MAX(I82*1000/'Calculation Constants'!$B$14,O82*10*I82*1000/2/('Calculation Constants'!$B$12*1000*'Calculation Constants'!$B$13))</f>
        <v>11.875</v>
      </c>
      <c r="Q82" s="66">
        <f t="shared" si="31"/>
        <v>1105894.9783427313</v>
      </c>
      <c r="R82" s="27">
        <f>(1/(2*LOG(3.7*$I82/'Calculation Constants'!$B$2*1000)))^2</f>
        <v>8.6699836115820689E-3</v>
      </c>
      <c r="S82" s="19">
        <f t="shared" si="45"/>
        <v>0.96467850809376621</v>
      </c>
      <c r="T82" s="19">
        <f>IF($H82&gt;0,'Calculation Constants'!$B$9*Hydraulics!$K82^2/2/9.81/MAX($F$4:$F$253)*$H82,"")</f>
        <v>6.3421890311175441E-2</v>
      </c>
      <c r="U82" s="19">
        <f t="shared" si="46"/>
        <v>1.0281003984049417</v>
      </c>
      <c r="V82" s="19">
        <f t="shared" si="32"/>
        <v>0</v>
      </c>
      <c r="W82" s="19">
        <f t="shared" si="33"/>
        <v>102.03317290847156</v>
      </c>
      <c r="X82" s="23">
        <f t="shared" si="34"/>
        <v>1041.7591729084716</v>
      </c>
      <c r="Y82" s="22">
        <f>(1/(2*LOG(3.7*$I82/'Calculation Constants'!$B$3*1000)))^2</f>
        <v>9.7303620360708887E-3</v>
      </c>
      <c r="Z82" s="19">
        <f t="shared" si="35"/>
        <v>1.0826630767363397</v>
      </c>
      <c r="AA82" s="19">
        <f>IF($H82&gt;0,'Calculation Constants'!$B$9*Hydraulics!$K82^2/2/9.81/MAX($F$4:$F$253)*$H82,"")</f>
        <v>6.3421890311175441E-2</v>
      </c>
      <c r="AB82" s="19">
        <f t="shared" si="54"/>
        <v>1.1460849670475151</v>
      </c>
      <c r="AC82" s="19">
        <f t="shared" si="36"/>
        <v>0</v>
      </c>
      <c r="AD82" s="19">
        <f t="shared" si="47"/>
        <v>94.010222240770076</v>
      </c>
      <c r="AE82" s="23">
        <f t="shared" si="37"/>
        <v>1033.7362222407701</v>
      </c>
      <c r="AF82" s="27">
        <f>(1/(2*LOG(3.7*$I82/'Calculation Constants'!$B$4*1000)))^2</f>
        <v>1.1458969193927592E-2</v>
      </c>
      <c r="AG82" s="19">
        <f t="shared" si="38"/>
        <v>1.274999100520025</v>
      </c>
      <c r="AH82" s="19">
        <f>IF($H82&gt;0,'Calculation Constants'!$B$9*Hydraulics!$K82^2/2/9.81/MAX($F$4:$F$253)*$H82,"")</f>
        <v>6.3421890311175441E-2</v>
      </c>
      <c r="AI82" s="19">
        <f t="shared" si="48"/>
        <v>1.3384209908312004</v>
      </c>
      <c r="AJ82" s="19">
        <f t="shared" si="39"/>
        <v>0</v>
      </c>
      <c r="AK82" s="19">
        <f t="shared" si="49"/>
        <v>80.931372623471361</v>
      </c>
      <c r="AL82" s="23">
        <f t="shared" si="40"/>
        <v>1020.6573726234714</v>
      </c>
      <c r="AM82" s="22">
        <f>(1/(2*LOG(3.7*($I82-0.008)/'Calculation Constants'!$B$5*1000)))^2</f>
        <v>1.4542845531075887E-2</v>
      </c>
      <c r="AN82" s="19">
        <f t="shared" si="50"/>
        <v>1.6249731396833385</v>
      </c>
      <c r="AO82" s="19">
        <f>IF($H82&gt;0,'Calculation Constants'!$B$9*Hydraulics!$K82^2/2/9.81/MAX($F$4:$F$253)*$H82,"")</f>
        <v>6.3421890311175441E-2</v>
      </c>
      <c r="AP82" s="19">
        <f t="shared" si="51"/>
        <v>1.6883950299945139</v>
      </c>
      <c r="AQ82" s="19">
        <f t="shared" si="41"/>
        <v>0</v>
      </c>
      <c r="AR82" s="19">
        <f t="shared" si="52"/>
        <v>57.133137960370505</v>
      </c>
      <c r="AS82" s="23">
        <f t="shared" si="42"/>
        <v>996.8591379603705</v>
      </c>
    </row>
    <row r="83" spans="5:45">
      <c r="E83" s="35" t="str">
        <f t="shared" si="28"/>
        <v/>
      </c>
      <c r="F83" s="19">
        <f>'Profile data'!A83</f>
        <v>160</v>
      </c>
      <c r="G83" s="19">
        <f>VLOOKUP(F83,'Profile data'!A83:C342,IF($B$22="Botswana 1",2,3))</f>
        <v>936.73800000000006</v>
      </c>
      <c r="H83" s="19">
        <f t="shared" si="53"/>
        <v>2</v>
      </c>
      <c r="I83" s="19">
        <v>1.8</v>
      </c>
      <c r="J83" s="36">
        <f>'Flow Rate Calculations'!$B$7</f>
        <v>4.0831050228310497</v>
      </c>
      <c r="K83" s="36">
        <f t="shared" si="43"/>
        <v>1.6045588828318709</v>
      </c>
      <c r="L83" s="37">
        <f>$I83*$K83/'Calculation Constants'!$B$7</f>
        <v>2555934.503625989</v>
      </c>
      <c r="M83" s="37">
        <f t="shared" si="29"/>
        <v>174.93200000000002</v>
      </c>
      <c r="N83" s="23">
        <f t="shared" si="44"/>
        <v>103.66719095492772</v>
      </c>
      <c r="O83" s="55">
        <f t="shared" si="30"/>
        <v>174.93200000000002</v>
      </c>
      <c r="P83" s="64">
        <f>MAX(I83*1000/'Calculation Constants'!$B$14,O83*10*I83*1000/2/('Calculation Constants'!$B$12*1000*'Calculation Constants'!$B$13))</f>
        <v>11.25</v>
      </c>
      <c r="Q83" s="66">
        <f t="shared" si="31"/>
        <v>992548.40161508287</v>
      </c>
      <c r="R83" s="27">
        <f>(1/(2*LOG(3.7*$I83/'Calculation Constants'!$B$2*1000)))^2</f>
        <v>8.7463077071963571E-3</v>
      </c>
      <c r="S83" s="19">
        <f t="shared" si="45"/>
        <v>1.2752477269849725</v>
      </c>
      <c r="T83" s="19">
        <f>IF($H83&gt;0,'Calculation Constants'!$B$9*Hydraulics!$K83^2/2/9.81/MAX($F$4:$F$253)*$H83,"")</f>
        <v>7.8734226558858159E-2</v>
      </c>
      <c r="U83" s="19">
        <f t="shared" si="46"/>
        <v>1.3539819535438307</v>
      </c>
      <c r="V83" s="19">
        <f t="shared" si="32"/>
        <v>0</v>
      </c>
      <c r="W83" s="19">
        <f t="shared" si="33"/>
        <v>103.66719095492772</v>
      </c>
      <c r="X83" s="23">
        <f t="shared" si="34"/>
        <v>1040.4051909549278</v>
      </c>
      <c r="Y83" s="22">
        <f>(1/(2*LOG(3.7*$I83/'Calculation Constants'!$B$3*1000)))^2</f>
        <v>9.8211436332891755E-3</v>
      </c>
      <c r="Z83" s="19">
        <f t="shared" si="35"/>
        <v>1.431963236834217</v>
      </c>
      <c r="AA83" s="19">
        <f>IF($H83&gt;0,'Calculation Constants'!$B$9*Hydraulics!$K83^2/2/9.81/MAX($F$4:$F$253)*$H83,"")</f>
        <v>7.8734226558858159E-2</v>
      </c>
      <c r="AB83" s="19">
        <f t="shared" si="54"/>
        <v>1.5106974633930752</v>
      </c>
      <c r="AC83" s="19">
        <f t="shared" si="36"/>
        <v>0</v>
      </c>
      <c r="AD83" s="19">
        <f t="shared" si="47"/>
        <v>95.487524777376848</v>
      </c>
      <c r="AE83" s="23">
        <f t="shared" si="37"/>
        <v>1032.2255247773769</v>
      </c>
      <c r="AF83" s="27">
        <f>(1/(2*LOG(3.7*$I83/'Calculation Constants'!$B$4*1000)))^2</f>
        <v>1.1575055557914658E-2</v>
      </c>
      <c r="AG83" s="19">
        <f t="shared" si="38"/>
        <v>1.6876908272744866</v>
      </c>
      <c r="AH83" s="19">
        <f>IF($H83&gt;0,'Calculation Constants'!$B$9*Hydraulics!$K83^2/2/9.81/MAX($F$4:$F$253)*$H83,"")</f>
        <v>7.8734226558858159E-2</v>
      </c>
      <c r="AI83" s="19">
        <f t="shared" si="48"/>
        <v>1.7664250538333448</v>
      </c>
      <c r="AJ83" s="19">
        <f t="shared" si="39"/>
        <v>0</v>
      </c>
      <c r="AK83" s="19">
        <f t="shared" si="49"/>
        <v>82.152947569637945</v>
      </c>
      <c r="AL83" s="23">
        <f t="shared" si="40"/>
        <v>1018.890947569638</v>
      </c>
      <c r="AM83" s="22">
        <f>(1/(2*LOG(3.7*($I83-0.008)/'Calculation Constants'!$B$5*1000)))^2</f>
        <v>1.4709705891825043E-2</v>
      </c>
      <c r="AN83" s="19">
        <f t="shared" si="50"/>
        <v>2.1543104841910781</v>
      </c>
      <c r="AO83" s="19">
        <f>IF($H83&gt;0,'Calculation Constants'!$B$9*Hydraulics!$K83^2/2/9.81/MAX($F$4:$F$253)*$H83,"")</f>
        <v>7.8734226558858159E-2</v>
      </c>
      <c r="AP83" s="19">
        <f t="shared" si="51"/>
        <v>2.2330447107499363</v>
      </c>
      <c r="AQ83" s="19">
        <f t="shared" si="41"/>
        <v>0</v>
      </c>
      <c r="AR83" s="19">
        <f t="shared" si="52"/>
        <v>57.888093249620511</v>
      </c>
      <c r="AS83" s="23">
        <f t="shared" si="42"/>
        <v>994.62609324962057</v>
      </c>
    </row>
    <row r="84" spans="5:45">
      <c r="E84" s="35" t="str">
        <f t="shared" si="28"/>
        <v/>
      </c>
      <c r="F84" s="19">
        <f>'Profile data'!A84</f>
        <v>162</v>
      </c>
      <c r="G84" s="19">
        <f>VLOOKUP(F84,'Profile data'!A84:C343,IF($B$22="Botswana 1",2,3))</f>
        <v>933.65</v>
      </c>
      <c r="H84" s="19">
        <f t="shared" si="53"/>
        <v>2</v>
      </c>
      <c r="I84" s="19">
        <v>1.8</v>
      </c>
      <c r="J84" s="36">
        <f>'Flow Rate Calculations'!$B$7</f>
        <v>4.0831050228310497</v>
      </c>
      <c r="K84" s="36">
        <f t="shared" si="43"/>
        <v>1.6045588828318709</v>
      </c>
      <c r="L84" s="37">
        <f>$I84*$K84/'Calculation Constants'!$B$7</f>
        <v>2555934.503625989</v>
      </c>
      <c r="M84" s="37">
        <f t="shared" si="29"/>
        <v>178.0200000000001</v>
      </c>
      <c r="N84" s="23">
        <f t="shared" si="44"/>
        <v>105.40120900138402</v>
      </c>
      <c r="O84" s="55">
        <f t="shared" si="30"/>
        <v>178.0200000000001</v>
      </c>
      <c r="P84" s="64">
        <f>MAX(I84*1000/'Calculation Constants'!$B$14,O84*10*I84*1000/2/('Calculation Constants'!$B$12*1000*'Calculation Constants'!$B$13))</f>
        <v>11.25</v>
      </c>
      <c r="Q84" s="66">
        <f t="shared" si="31"/>
        <v>992548.40161508287</v>
      </c>
      <c r="R84" s="27">
        <f>(1/(2*LOG(3.7*$I84/'Calculation Constants'!$B$2*1000)))^2</f>
        <v>8.7463077071963571E-3</v>
      </c>
      <c r="S84" s="19">
        <f t="shared" si="45"/>
        <v>1.2752477269849725</v>
      </c>
      <c r="T84" s="19">
        <f>IF($H84&gt;0,'Calculation Constants'!$B$9*Hydraulics!$K84^2/2/9.81/MAX($F$4:$F$253)*$H84,"")</f>
        <v>7.8734226558858159E-2</v>
      </c>
      <c r="U84" s="19">
        <f t="shared" si="46"/>
        <v>1.3539819535438307</v>
      </c>
      <c r="V84" s="19">
        <f t="shared" si="32"/>
        <v>0</v>
      </c>
      <c r="W84" s="19">
        <f t="shared" si="33"/>
        <v>105.40120900138402</v>
      </c>
      <c r="X84" s="23">
        <f t="shared" si="34"/>
        <v>1039.051209001384</v>
      </c>
      <c r="Y84" s="22">
        <f>(1/(2*LOG(3.7*$I84/'Calculation Constants'!$B$3*1000)))^2</f>
        <v>9.8211436332891755E-3</v>
      </c>
      <c r="Z84" s="19">
        <f t="shared" si="35"/>
        <v>1.431963236834217</v>
      </c>
      <c r="AA84" s="19">
        <f>IF($H84&gt;0,'Calculation Constants'!$B$9*Hydraulics!$K84^2/2/9.81/MAX($F$4:$F$253)*$H84,"")</f>
        <v>7.8734226558858159E-2</v>
      </c>
      <c r="AB84" s="19">
        <f t="shared" si="54"/>
        <v>1.5106974633930752</v>
      </c>
      <c r="AC84" s="19">
        <f t="shared" si="36"/>
        <v>0</v>
      </c>
      <c r="AD84" s="19">
        <f t="shared" si="47"/>
        <v>97.064827313983756</v>
      </c>
      <c r="AE84" s="23">
        <f t="shared" si="37"/>
        <v>1030.7148273139837</v>
      </c>
      <c r="AF84" s="27">
        <f>(1/(2*LOG(3.7*$I84/'Calculation Constants'!$B$4*1000)))^2</f>
        <v>1.1575055557914658E-2</v>
      </c>
      <c r="AG84" s="19">
        <f t="shared" si="38"/>
        <v>1.6876908272744866</v>
      </c>
      <c r="AH84" s="19">
        <f>IF($H84&gt;0,'Calculation Constants'!$B$9*Hydraulics!$K84^2/2/9.81/MAX($F$4:$F$253)*$H84,"")</f>
        <v>7.8734226558858159E-2</v>
      </c>
      <c r="AI84" s="19">
        <f t="shared" si="48"/>
        <v>1.7664250538333448</v>
      </c>
      <c r="AJ84" s="19">
        <f t="shared" si="39"/>
        <v>0</v>
      </c>
      <c r="AK84" s="19">
        <f t="shared" si="49"/>
        <v>83.474522515804665</v>
      </c>
      <c r="AL84" s="23">
        <f t="shared" si="40"/>
        <v>1017.1245225158046</v>
      </c>
      <c r="AM84" s="22">
        <f>(1/(2*LOG(3.7*($I84-0.008)/'Calculation Constants'!$B$5*1000)))^2</f>
        <v>1.4709705891825043E-2</v>
      </c>
      <c r="AN84" s="19">
        <f t="shared" si="50"/>
        <v>2.1543104841910781</v>
      </c>
      <c r="AO84" s="19">
        <f>IF($H84&gt;0,'Calculation Constants'!$B$9*Hydraulics!$K84^2/2/9.81/MAX($F$4:$F$253)*$H84,"")</f>
        <v>7.8734226558858159E-2</v>
      </c>
      <c r="AP84" s="19">
        <f t="shared" si="51"/>
        <v>2.2330447107499363</v>
      </c>
      <c r="AQ84" s="19">
        <f t="shared" si="41"/>
        <v>0</v>
      </c>
      <c r="AR84" s="19">
        <f t="shared" si="52"/>
        <v>58.743048538870653</v>
      </c>
      <c r="AS84" s="23">
        <f t="shared" si="42"/>
        <v>992.39304853887063</v>
      </c>
    </row>
    <row r="85" spans="5:45">
      <c r="E85" s="35" t="str">
        <f t="shared" si="28"/>
        <v/>
      </c>
      <c r="F85" s="19">
        <f>'Profile data'!A85</f>
        <v>164</v>
      </c>
      <c r="G85" s="19">
        <f>VLOOKUP(F85,'Profile data'!A85:C344,IF($B$22="Botswana 1",2,3))</f>
        <v>932.745</v>
      </c>
      <c r="H85" s="19">
        <f t="shared" si="53"/>
        <v>2</v>
      </c>
      <c r="I85" s="19">
        <v>1.8</v>
      </c>
      <c r="J85" s="36">
        <f>'Flow Rate Calculations'!$B$7</f>
        <v>4.0831050228310497</v>
      </c>
      <c r="K85" s="36">
        <f t="shared" si="43"/>
        <v>1.6045588828318709</v>
      </c>
      <c r="L85" s="37">
        <f>$I85*$K85/'Calculation Constants'!$B$7</f>
        <v>2555934.503625989</v>
      </c>
      <c r="M85" s="37">
        <f t="shared" si="29"/>
        <v>178.92500000000007</v>
      </c>
      <c r="N85" s="23">
        <f t="shared" si="44"/>
        <v>104.95222704784021</v>
      </c>
      <c r="O85" s="55">
        <f t="shared" si="30"/>
        <v>178.92500000000007</v>
      </c>
      <c r="P85" s="64">
        <f>MAX(I85*1000/'Calculation Constants'!$B$14,O85*10*I85*1000/2/('Calculation Constants'!$B$12*1000*'Calculation Constants'!$B$13))</f>
        <v>11.25</v>
      </c>
      <c r="Q85" s="66">
        <f t="shared" si="31"/>
        <v>992548.40161508287</v>
      </c>
      <c r="R85" s="27">
        <f>(1/(2*LOG(3.7*$I85/'Calculation Constants'!$B$2*1000)))^2</f>
        <v>8.7463077071963571E-3</v>
      </c>
      <c r="S85" s="19">
        <f t="shared" si="45"/>
        <v>1.2752477269849725</v>
      </c>
      <c r="T85" s="19">
        <f>IF($H85&gt;0,'Calculation Constants'!$B$9*Hydraulics!$K85^2/2/9.81/MAX($F$4:$F$253)*$H85,"")</f>
        <v>7.8734226558858159E-2</v>
      </c>
      <c r="U85" s="19">
        <f t="shared" si="46"/>
        <v>1.3539819535438307</v>
      </c>
      <c r="V85" s="19">
        <f t="shared" si="32"/>
        <v>0</v>
      </c>
      <c r="W85" s="19">
        <f t="shared" si="33"/>
        <v>104.95222704784021</v>
      </c>
      <c r="X85" s="23">
        <f t="shared" si="34"/>
        <v>1037.6972270478402</v>
      </c>
      <c r="Y85" s="22">
        <f>(1/(2*LOG(3.7*$I85/'Calculation Constants'!$B$3*1000)))^2</f>
        <v>9.8211436332891755E-3</v>
      </c>
      <c r="Z85" s="19">
        <f t="shared" si="35"/>
        <v>1.431963236834217</v>
      </c>
      <c r="AA85" s="19">
        <f>IF($H85&gt;0,'Calculation Constants'!$B$9*Hydraulics!$K85^2/2/9.81/MAX($F$4:$F$253)*$H85,"")</f>
        <v>7.8734226558858159E-2</v>
      </c>
      <c r="AB85" s="19">
        <f t="shared" si="54"/>
        <v>1.5106974633930752</v>
      </c>
      <c r="AC85" s="19">
        <f t="shared" si="36"/>
        <v>0</v>
      </c>
      <c r="AD85" s="19">
        <f t="shared" si="47"/>
        <v>96.459129850590557</v>
      </c>
      <c r="AE85" s="23">
        <f t="shared" si="37"/>
        <v>1029.2041298505906</v>
      </c>
      <c r="AF85" s="27">
        <f>(1/(2*LOG(3.7*$I85/'Calculation Constants'!$B$4*1000)))^2</f>
        <v>1.1575055557914658E-2</v>
      </c>
      <c r="AG85" s="19">
        <f t="shared" si="38"/>
        <v>1.6876908272744866</v>
      </c>
      <c r="AH85" s="19">
        <f>IF($H85&gt;0,'Calculation Constants'!$B$9*Hydraulics!$K85^2/2/9.81/MAX($F$4:$F$253)*$H85,"")</f>
        <v>7.8734226558858159E-2</v>
      </c>
      <c r="AI85" s="19">
        <f t="shared" si="48"/>
        <v>1.7664250538333448</v>
      </c>
      <c r="AJ85" s="19">
        <f t="shared" si="39"/>
        <v>0</v>
      </c>
      <c r="AK85" s="19">
        <f t="shared" si="49"/>
        <v>82.613097461971279</v>
      </c>
      <c r="AL85" s="23">
        <f t="shared" si="40"/>
        <v>1015.3580974619713</v>
      </c>
      <c r="AM85" s="22">
        <f>(1/(2*LOG(3.7*($I85-0.008)/'Calculation Constants'!$B$5*1000)))^2</f>
        <v>1.4709705891825043E-2</v>
      </c>
      <c r="AN85" s="19">
        <f t="shared" si="50"/>
        <v>2.1543104841910781</v>
      </c>
      <c r="AO85" s="19">
        <f>IF($H85&gt;0,'Calculation Constants'!$B$9*Hydraulics!$K85^2/2/9.81/MAX($F$4:$F$253)*$H85,"")</f>
        <v>7.8734226558858159E-2</v>
      </c>
      <c r="AP85" s="19">
        <f t="shared" si="51"/>
        <v>2.2330447107499363</v>
      </c>
      <c r="AQ85" s="19">
        <f t="shared" si="41"/>
        <v>0</v>
      </c>
      <c r="AR85" s="19">
        <f t="shared" si="52"/>
        <v>57.415003828120689</v>
      </c>
      <c r="AS85" s="23">
        <f t="shared" si="42"/>
        <v>990.16000382812069</v>
      </c>
    </row>
    <row r="86" spans="5:45">
      <c r="E86" s="35" t="str">
        <f t="shared" si="28"/>
        <v/>
      </c>
      <c r="F86" s="19">
        <f>'Profile data'!A86</f>
        <v>166</v>
      </c>
      <c r="G86" s="19">
        <f>VLOOKUP(F86,'Profile data'!A86:C345,IF($B$22="Botswana 1",2,3))</f>
        <v>931.69600000000003</v>
      </c>
      <c r="H86" s="19">
        <f t="shared" si="53"/>
        <v>2</v>
      </c>
      <c r="I86" s="19">
        <v>1.8</v>
      </c>
      <c r="J86" s="36">
        <f>'Flow Rate Calculations'!$B$7</f>
        <v>4.0831050228310497</v>
      </c>
      <c r="K86" s="36">
        <f t="shared" si="43"/>
        <v>1.6045588828318709</v>
      </c>
      <c r="L86" s="37">
        <f>$I86*$K86/'Calculation Constants'!$B$7</f>
        <v>2555934.503625989</v>
      </c>
      <c r="M86" s="37">
        <f t="shared" si="29"/>
        <v>179.97400000000005</v>
      </c>
      <c r="N86" s="23">
        <f t="shared" si="44"/>
        <v>104.64724509429641</v>
      </c>
      <c r="O86" s="55">
        <f t="shared" si="30"/>
        <v>179.97400000000005</v>
      </c>
      <c r="P86" s="64">
        <f>MAX(I86*1000/'Calculation Constants'!$B$14,O86*10*I86*1000/2/('Calculation Constants'!$B$12*1000*'Calculation Constants'!$B$13))</f>
        <v>11.25</v>
      </c>
      <c r="Q86" s="66">
        <f t="shared" si="31"/>
        <v>992548.40161508287</v>
      </c>
      <c r="R86" s="27">
        <f>(1/(2*LOG(3.7*$I86/'Calculation Constants'!$B$2*1000)))^2</f>
        <v>8.7463077071963571E-3</v>
      </c>
      <c r="S86" s="19">
        <f t="shared" si="45"/>
        <v>1.2752477269849725</v>
      </c>
      <c r="T86" s="19">
        <f>IF($H86&gt;0,'Calculation Constants'!$B$9*Hydraulics!$K86^2/2/9.81/MAX($F$4:$F$253)*$H86,"")</f>
        <v>7.8734226558858159E-2</v>
      </c>
      <c r="U86" s="19">
        <f t="shared" si="46"/>
        <v>1.3539819535438307</v>
      </c>
      <c r="V86" s="19">
        <f t="shared" si="32"/>
        <v>0</v>
      </c>
      <c r="W86" s="19">
        <f t="shared" si="33"/>
        <v>104.64724509429641</v>
      </c>
      <c r="X86" s="23">
        <f t="shared" si="34"/>
        <v>1036.3432450942964</v>
      </c>
      <c r="Y86" s="22">
        <f>(1/(2*LOG(3.7*$I86/'Calculation Constants'!$B$3*1000)))^2</f>
        <v>9.8211436332891755E-3</v>
      </c>
      <c r="Z86" s="19">
        <f t="shared" si="35"/>
        <v>1.431963236834217</v>
      </c>
      <c r="AA86" s="19">
        <f>IF($H86&gt;0,'Calculation Constants'!$B$9*Hydraulics!$K86^2/2/9.81/MAX($F$4:$F$253)*$H86,"")</f>
        <v>7.8734226558858159E-2</v>
      </c>
      <c r="AB86" s="19">
        <f t="shared" si="54"/>
        <v>1.5106974633930752</v>
      </c>
      <c r="AC86" s="19">
        <f t="shared" si="36"/>
        <v>0</v>
      </c>
      <c r="AD86" s="19">
        <f t="shared" si="47"/>
        <v>95.997432387197364</v>
      </c>
      <c r="AE86" s="23">
        <f t="shared" si="37"/>
        <v>1027.6934323871974</v>
      </c>
      <c r="AF86" s="27">
        <f>(1/(2*LOG(3.7*$I86/'Calculation Constants'!$B$4*1000)))^2</f>
        <v>1.1575055557914658E-2</v>
      </c>
      <c r="AG86" s="19">
        <f t="shared" si="38"/>
        <v>1.6876908272744866</v>
      </c>
      <c r="AH86" s="19">
        <f>IF($H86&gt;0,'Calculation Constants'!$B$9*Hydraulics!$K86^2/2/9.81/MAX($F$4:$F$253)*$H86,"")</f>
        <v>7.8734226558858159E-2</v>
      </c>
      <c r="AI86" s="19">
        <f t="shared" si="48"/>
        <v>1.7664250538333448</v>
      </c>
      <c r="AJ86" s="19">
        <f t="shared" si="39"/>
        <v>0</v>
      </c>
      <c r="AK86" s="19">
        <f t="shared" si="49"/>
        <v>81.895672408137898</v>
      </c>
      <c r="AL86" s="23">
        <f t="shared" si="40"/>
        <v>1013.5916724081379</v>
      </c>
      <c r="AM86" s="22">
        <f>(1/(2*LOG(3.7*($I86-0.008)/'Calculation Constants'!$B$5*1000)))^2</f>
        <v>1.4709705891825043E-2</v>
      </c>
      <c r="AN86" s="19">
        <f t="shared" si="50"/>
        <v>2.1543104841910781</v>
      </c>
      <c r="AO86" s="19">
        <f>IF($H86&gt;0,'Calculation Constants'!$B$9*Hydraulics!$K86^2/2/9.81/MAX($F$4:$F$253)*$H86,"")</f>
        <v>7.8734226558858159E-2</v>
      </c>
      <c r="AP86" s="19">
        <f t="shared" si="51"/>
        <v>2.2330447107499363</v>
      </c>
      <c r="AQ86" s="19">
        <f t="shared" si="41"/>
        <v>0</v>
      </c>
      <c r="AR86" s="19">
        <f t="shared" si="52"/>
        <v>56.23095911737073</v>
      </c>
      <c r="AS86" s="23">
        <f t="shared" si="42"/>
        <v>987.92695911737076</v>
      </c>
    </row>
    <row r="87" spans="5:45">
      <c r="E87" s="35" t="str">
        <f t="shared" si="28"/>
        <v/>
      </c>
      <c r="F87" s="19">
        <f>'Profile data'!A87</f>
        <v>168</v>
      </c>
      <c r="G87" s="19">
        <f>VLOOKUP(F87,'Profile data'!A87:C346,IF($B$22="Botswana 1",2,3))</f>
        <v>930.99900000000002</v>
      </c>
      <c r="H87" s="19">
        <f t="shared" si="53"/>
        <v>2</v>
      </c>
      <c r="I87" s="19">
        <v>1.8</v>
      </c>
      <c r="J87" s="36">
        <f>'Flow Rate Calculations'!$B$7</f>
        <v>4.0831050228310497</v>
      </c>
      <c r="K87" s="36">
        <f t="shared" si="43"/>
        <v>1.6045588828318709</v>
      </c>
      <c r="L87" s="37">
        <f>$I87*$K87/'Calculation Constants'!$B$7</f>
        <v>2555934.503625989</v>
      </c>
      <c r="M87" s="37">
        <f t="shared" si="29"/>
        <v>180.67100000000005</v>
      </c>
      <c r="N87" s="23">
        <f t="shared" si="44"/>
        <v>103.99026314075263</v>
      </c>
      <c r="O87" s="55">
        <f t="shared" si="30"/>
        <v>180.67100000000005</v>
      </c>
      <c r="P87" s="64">
        <f>MAX(I87*1000/'Calculation Constants'!$B$14,O87*10*I87*1000/2/('Calculation Constants'!$B$12*1000*'Calculation Constants'!$B$13))</f>
        <v>11.25</v>
      </c>
      <c r="Q87" s="66">
        <f t="shared" si="31"/>
        <v>992548.40161508287</v>
      </c>
      <c r="R87" s="27">
        <f>(1/(2*LOG(3.7*$I87/'Calculation Constants'!$B$2*1000)))^2</f>
        <v>8.7463077071963571E-3</v>
      </c>
      <c r="S87" s="19">
        <f t="shared" si="45"/>
        <v>1.2752477269849725</v>
      </c>
      <c r="T87" s="19">
        <f>IF($H87&gt;0,'Calculation Constants'!$B$9*Hydraulics!$K87^2/2/9.81/MAX($F$4:$F$253)*$H87,"")</f>
        <v>7.8734226558858159E-2</v>
      </c>
      <c r="U87" s="19">
        <f t="shared" si="46"/>
        <v>1.3539819535438307</v>
      </c>
      <c r="V87" s="19">
        <f t="shared" si="32"/>
        <v>0</v>
      </c>
      <c r="W87" s="19">
        <f t="shared" si="33"/>
        <v>103.99026314075263</v>
      </c>
      <c r="X87" s="23">
        <f t="shared" si="34"/>
        <v>1034.9892631407527</v>
      </c>
      <c r="Y87" s="22">
        <f>(1/(2*LOG(3.7*$I87/'Calculation Constants'!$B$3*1000)))^2</f>
        <v>9.8211436332891755E-3</v>
      </c>
      <c r="Z87" s="19">
        <f t="shared" si="35"/>
        <v>1.431963236834217</v>
      </c>
      <c r="AA87" s="19">
        <f>IF($H87&gt;0,'Calculation Constants'!$B$9*Hydraulics!$K87^2/2/9.81/MAX($F$4:$F$253)*$H87,"")</f>
        <v>7.8734226558858159E-2</v>
      </c>
      <c r="AB87" s="19">
        <f t="shared" si="54"/>
        <v>1.5106974633930752</v>
      </c>
      <c r="AC87" s="19">
        <f t="shared" si="36"/>
        <v>0</v>
      </c>
      <c r="AD87" s="19">
        <f t="shared" si="47"/>
        <v>95.183734923804195</v>
      </c>
      <c r="AE87" s="23">
        <f t="shared" si="37"/>
        <v>1026.1827349238042</v>
      </c>
      <c r="AF87" s="27">
        <f>(1/(2*LOG(3.7*$I87/'Calculation Constants'!$B$4*1000)))^2</f>
        <v>1.1575055557914658E-2</v>
      </c>
      <c r="AG87" s="19">
        <f t="shared" si="38"/>
        <v>1.6876908272744866</v>
      </c>
      <c r="AH87" s="19">
        <f>IF($H87&gt;0,'Calculation Constants'!$B$9*Hydraulics!$K87^2/2/9.81/MAX($F$4:$F$253)*$H87,"")</f>
        <v>7.8734226558858159E-2</v>
      </c>
      <c r="AI87" s="19">
        <f t="shared" si="48"/>
        <v>1.7664250538333448</v>
      </c>
      <c r="AJ87" s="19">
        <f t="shared" si="39"/>
        <v>0</v>
      </c>
      <c r="AK87" s="19">
        <f t="shared" si="49"/>
        <v>80.826247354304542</v>
      </c>
      <c r="AL87" s="23">
        <f t="shared" si="40"/>
        <v>1011.8252473543046</v>
      </c>
      <c r="AM87" s="22">
        <f>(1/(2*LOG(3.7*($I87-0.008)/'Calculation Constants'!$B$5*1000)))^2</f>
        <v>1.4709705891825043E-2</v>
      </c>
      <c r="AN87" s="19">
        <f t="shared" si="50"/>
        <v>2.1543104841910781</v>
      </c>
      <c r="AO87" s="19">
        <f>IF($H87&gt;0,'Calculation Constants'!$B$9*Hydraulics!$K87^2/2/9.81/MAX($F$4:$F$253)*$H87,"")</f>
        <v>7.8734226558858159E-2</v>
      </c>
      <c r="AP87" s="19">
        <f t="shared" si="51"/>
        <v>2.2330447107499363</v>
      </c>
      <c r="AQ87" s="19">
        <f t="shared" si="41"/>
        <v>0</v>
      </c>
      <c r="AR87" s="19">
        <f t="shared" si="52"/>
        <v>54.694914406620796</v>
      </c>
      <c r="AS87" s="23">
        <f t="shared" si="42"/>
        <v>985.69391440662082</v>
      </c>
    </row>
    <row r="88" spans="5:45">
      <c r="E88" s="35" t="str">
        <f t="shared" si="28"/>
        <v/>
      </c>
      <c r="F88" s="19">
        <f>'Profile data'!A88</f>
        <v>170</v>
      </c>
      <c r="G88" s="19">
        <f>VLOOKUP(F88,'Profile data'!A88:C347,IF($B$22="Botswana 1",2,3))</f>
        <v>930.88499999999999</v>
      </c>
      <c r="H88" s="19">
        <f t="shared" si="53"/>
        <v>2</v>
      </c>
      <c r="I88" s="19">
        <v>1.8</v>
      </c>
      <c r="J88" s="36">
        <f>'Flow Rate Calculations'!$B$7</f>
        <v>4.0831050228310497</v>
      </c>
      <c r="K88" s="36">
        <f t="shared" si="43"/>
        <v>1.6045588828318709</v>
      </c>
      <c r="L88" s="37">
        <f>$I88*$K88/'Calculation Constants'!$B$7</f>
        <v>2555934.503625989</v>
      </c>
      <c r="M88" s="37">
        <f t="shared" si="29"/>
        <v>180.78500000000008</v>
      </c>
      <c r="N88" s="23">
        <f t="shared" si="44"/>
        <v>102.75028118720888</v>
      </c>
      <c r="O88" s="55">
        <f t="shared" si="30"/>
        <v>180.78500000000008</v>
      </c>
      <c r="P88" s="64">
        <f>MAX(I88*1000/'Calculation Constants'!$B$14,O88*10*I88*1000/2/('Calculation Constants'!$B$12*1000*'Calculation Constants'!$B$13))</f>
        <v>11.25</v>
      </c>
      <c r="Q88" s="66">
        <f t="shared" si="31"/>
        <v>992548.40161508287</v>
      </c>
      <c r="R88" s="27">
        <f>(1/(2*LOG(3.7*$I88/'Calculation Constants'!$B$2*1000)))^2</f>
        <v>8.7463077071963571E-3</v>
      </c>
      <c r="S88" s="19">
        <f t="shared" si="45"/>
        <v>1.2752477269849725</v>
      </c>
      <c r="T88" s="19">
        <f>IF($H88&gt;0,'Calculation Constants'!$B$9*Hydraulics!$K88^2/2/9.81/MAX($F$4:$F$253)*$H88,"")</f>
        <v>7.8734226558858159E-2</v>
      </c>
      <c r="U88" s="19">
        <f t="shared" si="46"/>
        <v>1.3539819535438307</v>
      </c>
      <c r="V88" s="19">
        <f t="shared" si="32"/>
        <v>0</v>
      </c>
      <c r="W88" s="19">
        <f t="shared" si="33"/>
        <v>102.75028118720888</v>
      </c>
      <c r="X88" s="23">
        <f t="shared" si="34"/>
        <v>1033.6352811872089</v>
      </c>
      <c r="Y88" s="22">
        <f>(1/(2*LOG(3.7*$I88/'Calculation Constants'!$B$3*1000)))^2</f>
        <v>9.8211436332891755E-3</v>
      </c>
      <c r="Z88" s="19">
        <f t="shared" si="35"/>
        <v>1.431963236834217</v>
      </c>
      <c r="AA88" s="19">
        <f>IF($H88&gt;0,'Calculation Constants'!$B$9*Hydraulics!$K88^2/2/9.81/MAX($F$4:$F$253)*$H88,"")</f>
        <v>7.8734226558858159E-2</v>
      </c>
      <c r="AB88" s="19">
        <f t="shared" si="54"/>
        <v>1.5106974633930752</v>
      </c>
      <c r="AC88" s="19">
        <f t="shared" si="36"/>
        <v>0</v>
      </c>
      <c r="AD88" s="19">
        <f t="shared" si="47"/>
        <v>93.787037460411057</v>
      </c>
      <c r="AE88" s="23">
        <f t="shared" si="37"/>
        <v>1024.672037460411</v>
      </c>
      <c r="AF88" s="27">
        <f>(1/(2*LOG(3.7*$I88/'Calculation Constants'!$B$4*1000)))^2</f>
        <v>1.1575055557914658E-2</v>
      </c>
      <c r="AG88" s="19">
        <f t="shared" si="38"/>
        <v>1.6876908272744866</v>
      </c>
      <c r="AH88" s="19">
        <f>IF($H88&gt;0,'Calculation Constants'!$B$9*Hydraulics!$K88^2/2/9.81/MAX($F$4:$F$253)*$H88,"")</f>
        <v>7.8734226558858159E-2</v>
      </c>
      <c r="AI88" s="19">
        <f t="shared" si="48"/>
        <v>1.7664250538333448</v>
      </c>
      <c r="AJ88" s="19">
        <f t="shared" si="39"/>
        <v>0</v>
      </c>
      <c r="AK88" s="19">
        <f t="shared" si="49"/>
        <v>79.173822300471215</v>
      </c>
      <c r="AL88" s="23">
        <f t="shared" si="40"/>
        <v>1010.0588223004712</v>
      </c>
      <c r="AM88" s="22">
        <f>(1/(2*LOG(3.7*($I88-0.008)/'Calculation Constants'!$B$5*1000)))^2</f>
        <v>1.4709705891825043E-2</v>
      </c>
      <c r="AN88" s="19">
        <f t="shared" si="50"/>
        <v>2.1543104841910781</v>
      </c>
      <c r="AO88" s="19">
        <f>IF($H88&gt;0,'Calculation Constants'!$B$9*Hydraulics!$K88^2/2/9.81/MAX($F$4:$F$253)*$H88,"")</f>
        <v>7.8734226558858159E-2</v>
      </c>
      <c r="AP88" s="19">
        <f t="shared" si="51"/>
        <v>2.2330447107499363</v>
      </c>
      <c r="AQ88" s="19">
        <f t="shared" si="41"/>
        <v>0</v>
      </c>
      <c r="AR88" s="19">
        <f t="shared" si="52"/>
        <v>52.575869695870892</v>
      </c>
      <c r="AS88" s="23">
        <f t="shared" si="42"/>
        <v>983.46086969587088</v>
      </c>
    </row>
    <row r="89" spans="5:45">
      <c r="E89" s="35" t="str">
        <f t="shared" si="28"/>
        <v/>
      </c>
      <c r="F89" s="19">
        <f>'Profile data'!A89</f>
        <v>172</v>
      </c>
      <c r="G89" s="19">
        <f>VLOOKUP(F89,'Profile data'!A89:C348,IF($B$22="Botswana 1",2,3))</f>
        <v>930.37800000000004</v>
      </c>
      <c r="H89" s="19">
        <f t="shared" si="53"/>
        <v>2</v>
      </c>
      <c r="I89" s="19">
        <v>1.8</v>
      </c>
      <c r="J89" s="36">
        <f>'Flow Rate Calculations'!$B$7</f>
        <v>4.0831050228310497</v>
      </c>
      <c r="K89" s="36">
        <f t="shared" si="43"/>
        <v>1.6045588828318709</v>
      </c>
      <c r="L89" s="37">
        <f>$I89*$K89/'Calculation Constants'!$B$7</f>
        <v>2555934.503625989</v>
      </c>
      <c r="M89" s="37">
        <f t="shared" si="29"/>
        <v>181.29200000000003</v>
      </c>
      <c r="N89" s="23">
        <f t="shared" si="44"/>
        <v>101.90329923366505</v>
      </c>
      <c r="O89" s="55">
        <f t="shared" si="30"/>
        <v>181.29200000000003</v>
      </c>
      <c r="P89" s="64">
        <f>MAX(I89*1000/'Calculation Constants'!$B$14,O89*10*I89*1000/2/('Calculation Constants'!$B$12*1000*'Calculation Constants'!$B$13))</f>
        <v>11.25</v>
      </c>
      <c r="Q89" s="66">
        <f t="shared" si="31"/>
        <v>992548.40161508287</v>
      </c>
      <c r="R89" s="27">
        <f>(1/(2*LOG(3.7*$I89/'Calculation Constants'!$B$2*1000)))^2</f>
        <v>8.7463077071963571E-3</v>
      </c>
      <c r="S89" s="19">
        <f t="shared" si="45"/>
        <v>1.2752477269849725</v>
      </c>
      <c r="T89" s="19">
        <f>IF($H89&gt;0,'Calculation Constants'!$B$9*Hydraulics!$K89^2/2/9.81/MAX($F$4:$F$253)*$H89,"")</f>
        <v>7.8734226558858159E-2</v>
      </c>
      <c r="U89" s="19">
        <f t="shared" si="46"/>
        <v>1.3539819535438307</v>
      </c>
      <c r="V89" s="19">
        <f t="shared" si="32"/>
        <v>0</v>
      </c>
      <c r="W89" s="19">
        <f t="shared" si="33"/>
        <v>101.90329923366505</v>
      </c>
      <c r="X89" s="23">
        <f t="shared" si="34"/>
        <v>1032.2812992336651</v>
      </c>
      <c r="Y89" s="22">
        <f>(1/(2*LOG(3.7*$I89/'Calculation Constants'!$B$3*1000)))^2</f>
        <v>9.8211436332891755E-3</v>
      </c>
      <c r="Z89" s="19">
        <f t="shared" si="35"/>
        <v>1.431963236834217</v>
      </c>
      <c r="AA89" s="19">
        <f>IF($H89&gt;0,'Calculation Constants'!$B$9*Hydraulics!$K89^2/2/9.81/MAX($F$4:$F$253)*$H89,"")</f>
        <v>7.8734226558858159E-2</v>
      </c>
      <c r="AB89" s="19">
        <f t="shared" si="54"/>
        <v>1.5106974633930752</v>
      </c>
      <c r="AC89" s="19">
        <f t="shared" si="36"/>
        <v>0</v>
      </c>
      <c r="AD89" s="19">
        <f t="shared" si="47"/>
        <v>92.783339997017947</v>
      </c>
      <c r="AE89" s="23">
        <f t="shared" si="37"/>
        <v>1023.161339997018</v>
      </c>
      <c r="AF89" s="27">
        <f>(1/(2*LOG(3.7*$I89/'Calculation Constants'!$B$4*1000)))^2</f>
        <v>1.1575055557914658E-2</v>
      </c>
      <c r="AG89" s="19">
        <f t="shared" si="38"/>
        <v>1.6876908272744866</v>
      </c>
      <c r="AH89" s="19">
        <f>IF($H89&gt;0,'Calculation Constants'!$B$9*Hydraulics!$K89^2/2/9.81/MAX($F$4:$F$253)*$H89,"")</f>
        <v>7.8734226558858159E-2</v>
      </c>
      <c r="AI89" s="19">
        <f t="shared" si="48"/>
        <v>1.7664250538333448</v>
      </c>
      <c r="AJ89" s="19">
        <f t="shared" si="39"/>
        <v>0</v>
      </c>
      <c r="AK89" s="19">
        <f t="shared" si="49"/>
        <v>77.914397246637805</v>
      </c>
      <c r="AL89" s="23">
        <f t="shared" si="40"/>
        <v>1008.2923972466378</v>
      </c>
      <c r="AM89" s="22">
        <f>(1/(2*LOG(3.7*($I89-0.008)/'Calculation Constants'!$B$5*1000)))^2</f>
        <v>1.4709705891825043E-2</v>
      </c>
      <c r="AN89" s="19">
        <f t="shared" si="50"/>
        <v>2.1543104841910781</v>
      </c>
      <c r="AO89" s="19">
        <f>IF($H89&gt;0,'Calculation Constants'!$B$9*Hydraulics!$K89^2/2/9.81/MAX($F$4:$F$253)*$H89,"")</f>
        <v>7.8734226558858159E-2</v>
      </c>
      <c r="AP89" s="19">
        <f t="shared" si="51"/>
        <v>2.2330447107499363</v>
      </c>
      <c r="AQ89" s="19">
        <f t="shared" si="41"/>
        <v>0</v>
      </c>
      <c r="AR89" s="19">
        <f t="shared" si="52"/>
        <v>50.849824985120904</v>
      </c>
      <c r="AS89" s="23">
        <f t="shared" si="42"/>
        <v>981.22782498512095</v>
      </c>
    </row>
    <row r="90" spans="5:45">
      <c r="E90" s="35" t="str">
        <f t="shared" si="28"/>
        <v/>
      </c>
      <c r="F90" s="19">
        <f>'Profile data'!A90</f>
        <v>174</v>
      </c>
      <c r="G90" s="19">
        <f>VLOOKUP(F90,'Profile data'!A90:C349,IF($B$22="Botswana 1",2,3))</f>
        <v>931.32399999999996</v>
      </c>
      <c r="H90" s="19">
        <f t="shared" si="53"/>
        <v>2</v>
      </c>
      <c r="I90" s="19">
        <v>1.8</v>
      </c>
      <c r="J90" s="36">
        <f>'Flow Rate Calculations'!$B$7</f>
        <v>4.0831050228310497</v>
      </c>
      <c r="K90" s="36">
        <f t="shared" si="43"/>
        <v>1.6045588828318709</v>
      </c>
      <c r="L90" s="37">
        <f>$I90*$K90/'Calculation Constants'!$B$7</f>
        <v>2555934.503625989</v>
      </c>
      <c r="M90" s="37">
        <f t="shared" si="29"/>
        <v>180.34600000000012</v>
      </c>
      <c r="N90" s="23">
        <f t="shared" si="44"/>
        <v>99.60331728012136</v>
      </c>
      <c r="O90" s="55">
        <f t="shared" si="30"/>
        <v>180.34600000000012</v>
      </c>
      <c r="P90" s="64">
        <f>MAX(I90*1000/'Calculation Constants'!$B$14,O90*10*I90*1000/2/('Calculation Constants'!$B$12*1000*'Calculation Constants'!$B$13))</f>
        <v>11.25</v>
      </c>
      <c r="Q90" s="66">
        <f t="shared" si="31"/>
        <v>992548.40161508287</v>
      </c>
      <c r="R90" s="27">
        <f>(1/(2*LOG(3.7*$I90/'Calculation Constants'!$B$2*1000)))^2</f>
        <v>8.7463077071963571E-3</v>
      </c>
      <c r="S90" s="19">
        <f t="shared" si="45"/>
        <v>1.2752477269849725</v>
      </c>
      <c r="T90" s="19">
        <f>IF($H90&gt;0,'Calculation Constants'!$B$9*Hydraulics!$K90^2/2/9.81/MAX($F$4:$F$253)*$H90,"")</f>
        <v>7.8734226558858159E-2</v>
      </c>
      <c r="U90" s="19">
        <f t="shared" si="46"/>
        <v>1.3539819535438307</v>
      </c>
      <c r="V90" s="19">
        <f t="shared" si="32"/>
        <v>0</v>
      </c>
      <c r="W90" s="19">
        <f t="shared" si="33"/>
        <v>99.60331728012136</v>
      </c>
      <c r="X90" s="23">
        <f t="shared" si="34"/>
        <v>1030.9273172801213</v>
      </c>
      <c r="Y90" s="22">
        <f>(1/(2*LOG(3.7*$I90/'Calculation Constants'!$B$3*1000)))^2</f>
        <v>9.8211436332891755E-3</v>
      </c>
      <c r="Z90" s="19">
        <f t="shared" si="35"/>
        <v>1.431963236834217</v>
      </c>
      <c r="AA90" s="19">
        <f>IF($H90&gt;0,'Calculation Constants'!$B$9*Hydraulics!$K90^2/2/9.81/MAX($F$4:$F$253)*$H90,"")</f>
        <v>7.8734226558858159E-2</v>
      </c>
      <c r="AB90" s="19">
        <f t="shared" si="54"/>
        <v>1.5106974633930752</v>
      </c>
      <c r="AC90" s="19">
        <f t="shared" si="36"/>
        <v>0</v>
      </c>
      <c r="AD90" s="19">
        <f t="shared" si="47"/>
        <v>90.326642533624977</v>
      </c>
      <c r="AE90" s="23">
        <f t="shared" si="37"/>
        <v>1021.6506425336249</v>
      </c>
      <c r="AF90" s="27">
        <f>(1/(2*LOG(3.7*$I90/'Calculation Constants'!$B$4*1000)))^2</f>
        <v>1.1575055557914658E-2</v>
      </c>
      <c r="AG90" s="19">
        <f t="shared" si="38"/>
        <v>1.6876908272744866</v>
      </c>
      <c r="AH90" s="19">
        <f>IF($H90&gt;0,'Calculation Constants'!$B$9*Hydraulics!$K90^2/2/9.81/MAX($F$4:$F$253)*$H90,"")</f>
        <v>7.8734226558858159E-2</v>
      </c>
      <c r="AI90" s="19">
        <f t="shared" si="48"/>
        <v>1.7664250538333448</v>
      </c>
      <c r="AJ90" s="19">
        <f t="shared" si="39"/>
        <v>0</v>
      </c>
      <c r="AK90" s="19">
        <f t="shared" si="49"/>
        <v>75.201972192804533</v>
      </c>
      <c r="AL90" s="23">
        <f t="shared" si="40"/>
        <v>1006.5259721928045</v>
      </c>
      <c r="AM90" s="22">
        <f>(1/(2*LOG(3.7*($I90-0.008)/'Calculation Constants'!$B$5*1000)))^2</f>
        <v>1.4709705891825043E-2</v>
      </c>
      <c r="AN90" s="19">
        <f t="shared" si="50"/>
        <v>2.1543104841910781</v>
      </c>
      <c r="AO90" s="19">
        <f>IF($H90&gt;0,'Calculation Constants'!$B$9*Hydraulics!$K90^2/2/9.81/MAX($F$4:$F$253)*$H90,"")</f>
        <v>7.8734226558858159E-2</v>
      </c>
      <c r="AP90" s="19">
        <f t="shared" si="51"/>
        <v>2.2330447107499363</v>
      </c>
      <c r="AQ90" s="19">
        <f t="shared" si="41"/>
        <v>0</v>
      </c>
      <c r="AR90" s="19">
        <f t="shared" si="52"/>
        <v>47.670780274371054</v>
      </c>
      <c r="AS90" s="23">
        <f t="shared" si="42"/>
        <v>978.99478027437101</v>
      </c>
    </row>
    <row r="91" spans="5:45">
      <c r="E91" s="35" t="str">
        <f t="shared" si="28"/>
        <v/>
      </c>
      <c r="F91" s="19">
        <f>'Profile data'!A91</f>
        <v>176</v>
      </c>
      <c r="G91" s="19">
        <f>VLOOKUP(F91,'Profile data'!A91:C350,IF($B$22="Botswana 1",2,3))</f>
        <v>933.53</v>
      </c>
      <c r="H91" s="19">
        <f t="shared" si="53"/>
        <v>2</v>
      </c>
      <c r="I91" s="19">
        <v>1.8</v>
      </c>
      <c r="J91" s="36">
        <f>'Flow Rate Calculations'!$B$7</f>
        <v>4.0831050228310497</v>
      </c>
      <c r="K91" s="36">
        <f t="shared" si="43"/>
        <v>1.6045588828318709</v>
      </c>
      <c r="L91" s="37">
        <f>$I91*$K91/'Calculation Constants'!$B$7</f>
        <v>2555934.503625989</v>
      </c>
      <c r="M91" s="37">
        <f t="shared" si="29"/>
        <v>178.1400000000001</v>
      </c>
      <c r="N91" s="23">
        <f t="shared" si="44"/>
        <v>96.043335326577562</v>
      </c>
      <c r="O91" s="55">
        <f t="shared" si="30"/>
        <v>178.1400000000001</v>
      </c>
      <c r="P91" s="64">
        <f>MAX(I91*1000/'Calculation Constants'!$B$14,O91*10*I91*1000/2/('Calculation Constants'!$B$12*1000*'Calculation Constants'!$B$13))</f>
        <v>11.25</v>
      </c>
      <c r="Q91" s="66">
        <f t="shared" si="31"/>
        <v>992548.40161508287</v>
      </c>
      <c r="R91" s="27">
        <f>(1/(2*LOG(3.7*$I91/'Calculation Constants'!$B$2*1000)))^2</f>
        <v>8.7463077071963571E-3</v>
      </c>
      <c r="S91" s="19">
        <f t="shared" si="45"/>
        <v>1.2752477269849725</v>
      </c>
      <c r="T91" s="19">
        <f>IF($H91&gt;0,'Calculation Constants'!$B$9*Hydraulics!$K91^2/2/9.81/MAX($F$4:$F$253)*$H91,"")</f>
        <v>7.8734226558858159E-2</v>
      </c>
      <c r="U91" s="19">
        <f t="shared" si="46"/>
        <v>1.3539819535438307</v>
      </c>
      <c r="V91" s="19">
        <f t="shared" si="32"/>
        <v>0</v>
      </c>
      <c r="W91" s="19">
        <f t="shared" si="33"/>
        <v>96.043335326577562</v>
      </c>
      <c r="X91" s="23">
        <f t="shared" si="34"/>
        <v>1029.5733353265775</v>
      </c>
      <c r="Y91" s="22">
        <f>(1/(2*LOG(3.7*$I91/'Calculation Constants'!$B$3*1000)))^2</f>
        <v>9.8211436332891755E-3</v>
      </c>
      <c r="Z91" s="19">
        <f t="shared" si="35"/>
        <v>1.431963236834217</v>
      </c>
      <c r="AA91" s="19">
        <f>IF($H91&gt;0,'Calculation Constants'!$B$9*Hydraulics!$K91^2/2/9.81/MAX($F$4:$F$253)*$H91,"")</f>
        <v>7.8734226558858159E-2</v>
      </c>
      <c r="AB91" s="19">
        <f t="shared" si="54"/>
        <v>1.5106974633930752</v>
      </c>
      <c r="AC91" s="19">
        <f t="shared" si="36"/>
        <v>0</v>
      </c>
      <c r="AD91" s="19">
        <f t="shared" si="47"/>
        <v>86.609945070231902</v>
      </c>
      <c r="AE91" s="23">
        <f t="shared" si="37"/>
        <v>1020.1399450702319</v>
      </c>
      <c r="AF91" s="27">
        <f>(1/(2*LOG(3.7*$I91/'Calculation Constants'!$B$4*1000)))^2</f>
        <v>1.1575055557914658E-2</v>
      </c>
      <c r="AG91" s="19">
        <f t="shared" si="38"/>
        <v>1.6876908272744866</v>
      </c>
      <c r="AH91" s="19">
        <f>IF($H91&gt;0,'Calculation Constants'!$B$9*Hydraulics!$K91^2/2/9.81/MAX($F$4:$F$253)*$H91,"")</f>
        <v>7.8734226558858159E-2</v>
      </c>
      <c r="AI91" s="19">
        <f t="shared" si="48"/>
        <v>1.7664250538333448</v>
      </c>
      <c r="AJ91" s="19">
        <f t="shared" si="39"/>
        <v>0</v>
      </c>
      <c r="AK91" s="19">
        <f t="shared" si="49"/>
        <v>71.229547138971157</v>
      </c>
      <c r="AL91" s="23">
        <f t="shared" si="40"/>
        <v>1004.7595471389711</v>
      </c>
      <c r="AM91" s="22">
        <f>(1/(2*LOG(3.7*($I91-0.008)/'Calculation Constants'!$B$5*1000)))^2</f>
        <v>1.4709705891825043E-2</v>
      </c>
      <c r="AN91" s="19">
        <f t="shared" si="50"/>
        <v>2.1543104841910781</v>
      </c>
      <c r="AO91" s="19">
        <f>IF($H91&gt;0,'Calculation Constants'!$B$9*Hydraulics!$K91^2/2/9.81/MAX($F$4:$F$253)*$H91,"")</f>
        <v>7.8734226558858159E-2</v>
      </c>
      <c r="AP91" s="19">
        <f t="shared" si="51"/>
        <v>2.2330447107499363</v>
      </c>
      <c r="AQ91" s="19">
        <f t="shared" si="41"/>
        <v>0</v>
      </c>
      <c r="AR91" s="19">
        <f t="shared" si="52"/>
        <v>43.2317355636211</v>
      </c>
      <c r="AS91" s="23">
        <f t="shared" si="42"/>
        <v>976.76173556362107</v>
      </c>
    </row>
    <row r="92" spans="5:45">
      <c r="E92" s="35" t="str">
        <f t="shared" si="28"/>
        <v/>
      </c>
      <c r="F92" s="19">
        <f>'Profile data'!A92</f>
        <v>178</v>
      </c>
      <c r="G92" s="19">
        <f>VLOOKUP(F92,'Profile data'!A92:C351,IF($B$22="Botswana 1",2,3))</f>
        <v>932.71400000000006</v>
      </c>
      <c r="H92" s="19">
        <f t="shared" si="53"/>
        <v>2</v>
      </c>
      <c r="I92" s="19">
        <v>1.8</v>
      </c>
      <c r="J92" s="36">
        <f>'Flow Rate Calculations'!$B$7</f>
        <v>4.0831050228310497</v>
      </c>
      <c r="K92" s="36">
        <f t="shared" si="43"/>
        <v>1.6045588828318709</v>
      </c>
      <c r="L92" s="37">
        <f>$I92*$K92/'Calculation Constants'!$B$7</f>
        <v>2555934.503625989</v>
      </c>
      <c r="M92" s="37">
        <f t="shared" si="29"/>
        <v>178.95600000000002</v>
      </c>
      <c r="N92" s="23">
        <f t="shared" si="44"/>
        <v>95.505353373033699</v>
      </c>
      <c r="O92" s="55">
        <f t="shared" si="30"/>
        <v>178.95600000000002</v>
      </c>
      <c r="P92" s="64">
        <f>MAX(I92*1000/'Calculation Constants'!$B$14,O92*10*I92*1000/2/('Calculation Constants'!$B$12*1000*'Calculation Constants'!$B$13))</f>
        <v>11.25</v>
      </c>
      <c r="Q92" s="66">
        <f t="shared" si="31"/>
        <v>992548.40161508287</v>
      </c>
      <c r="R92" s="27">
        <f>(1/(2*LOG(3.7*$I92/'Calculation Constants'!$B$2*1000)))^2</f>
        <v>8.7463077071963571E-3</v>
      </c>
      <c r="S92" s="19">
        <f t="shared" si="45"/>
        <v>1.2752477269849725</v>
      </c>
      <c r="T92" s="19">
        <f>IF($H92&gt;0,'Calculation Constants'!$B$9*Hydraulics!$K92^2/2/9.81/MAX($F$4:$F$253)*$H92,"")</f>
        <v>7.8734226558858159E-2</v>
      </c>
      <c r="U92" s="19">
        <f t="shared" si="46"/>
        <v>1.3539819535438307</v>
      </c>
      <c r="V92" s="19">
        <f t="shared" si="32"/>
        <v>0</v>
      </c>
      <c r="W92" s="19">
        <f t="shared" si="33"/>
        <v>95.505353373033699</v>
      </c>
      <c r="X92" s="23">
        <f t="shared" si="34"/>
        <v>1028.2193533730338</v>
      </c>
      <c r="Y92" s="22">
        <f>(1/(2*LOG(3.7*$I92/'Calculation Constants'!$B$3*1000)))^2</f>
        <v>9.8211436332891755E-3</v>
      </c>
      <c r="Z92" s="19">
        <f t="shared" si="35"/>
        <v>1.431963236834217</v>
      </c>
      <c r="AA92" s="19">
        <f>IF($H92&gt;0,'Calculation Constants'!$B$9*Hydraulics!$K92^2/2/9.81/MAX($F$4:$F$253)*$H92,"")</f>
        <v>7.8734226558858159E-2</v>
      </c>
      <c r="AB92" s="19">
        <f t="shared" si="54"/>
        <v>1.5106974633930752</v>
      </c>
      <c r="AC92" s="19">
        <f t="shared" si="36"/>
        <v>0</v>
      </c>
      <c r="AD92" s="19">
        <f t="shared" si="47"/>
        <v>85.915247606838761</v>
      </c>
      <c r="AE92" s="23">
        <f t="shared" si="37"/>
        <v>1018.6292476068388</v>
      </c>
      <c r="AF92" s="27">
        <f>(1/(2*LOG(3.7*$I92/'Calculation Constants'!$B$4*1000)))^2</f>
        <v>1.1575055557914658E-2</v>
      </c>
      <c r="AG92" s="19">
        <f t="shared" si="38"/>
        <v>1.6876908272744866</v>
      </c>
      <c r="AH92" s="19">
        <f>IF($H92&gt;0,'Calculation Constants'!$B$9*Hydraulics!$K92^2/2/9.81/MAX($F$4:$F$253)*$H92,"")</f>
        <v>7.8734226558858159E-2</v>
      </c>
      <c r="AI92" s="19">
        <f t="shared" si="48"/>
        <v>1.7664250538333448</v>
      </c>
      <c r="AJ92" s="19">
        <f t="shared" si="39"/>
        <v>0</v>
      </c>
      <c r="AK92" s="19">
        <f t="shared" si="49"/>
        <v>70.279122085137715</v>
      </c>
      <c r="AL92" s="23">
        <f t="shared" si="40"/>
        <v>1002.9931220851378</v>
      </c>
      <c r="AM92" s="22">
        <f>(1/(2*LOG(3.7*($I92-0.008)/'Calculation Constants'!$B$5*1000)))^2</f>
        <v>1.4709705891825043E-2</v>
      </c>
      <c r="AN92" s="19">
        <f t="shared" si="50"/>
        <v>2.1543104841910781</v>
      </c>
      <c r="AO92" s="19">
        <f>IF($H92&gt;0,'Calculation Constants'!$B$9*Hydraulics!$K92^2/2/9.81/MAX($F$4:$F$253)*$H92,"")</f>
        <v>7.8734226558858159E-2</v>
      </c>
      <c r="AP92" s="19">
        <f t="shared" si="51"/>
        <v>2.2330447107499363</v>
      </c>
      <c r="AQ92" s="19">
        <f t="shared" si="41"/>
        <v>0</v>
      </c>
      <c r="AR92" s="19">
        <f t="shared" si="52"/>
        <v>41.814690852871081</v>
      </c>
      <c r="AS92" s="23">
        <f t="shared" si="42"/>
        <v>974.52869085287114</v>
      </c>
    </row>
    <row r="93" spans="5:45">
      <c r="E93" s="35" t="str">
        <f t="shared" si="28"/>
        <v/>
      </c>
      <c r="F93" s="19">
        <f>'Profile data'!A93</f>
        <v>180</v>
      </c>
      <c r="G93" s="19">
        <f>VLOOKUP(F93,'Profile data'!A93:C352,IF($B$22="Botswana 1",2,3))</f>
        <v>928.31100000000004</v>
      </c>
      <c r="H93" s="19">
        <f t="shared" si="53"/>
        <v>2</v>
      </c>
      <c r="I93" s="19">
        <v>1.8</v>
      </c>
      <c r="J93" s="36">
        <f>'Flow Rate Calculations'!$B$7</f>
        <v>4.0831050228310497</v>
      </c>
      <c r="K93" s="36">
        <f t="shared" si="43"/>
        <v>1.6045588828318709</v>
      </c>
      <c r="L93" s="37">
        <f>$I93*$K93/'Calculation Constants'!$B$7</f>
        <v>2555934.503625989</v>
      </c>
      <c r="M93" s="37">
        <f t="shared" si="29"/>
        <v>183.35900000000004</v>
      </c>
      <c r="N93" s="23">
        <f t="shared" si="44"/>
        <v>98.554371419489939</v>
      </c>
      <c r="O93" s="55">
        <f t="shared" si="30"/>
        <v>183.35900000000004</v>
      </c>
      <c r="P93" s="64">
        <f>MAX(I93*1000/'Calculation Constants'!$B$14,O93*10*I93*1000/2/('Calculation Constants'!$B$12*1000*'Calculation Constants'!$B$13))</f>
        <v>11.25</v>
      </c>
      <c r="Q93" s="66">
        <f t="shared" si="31"/>
        <v>992548.40161508287</v>
      </c>
      <c r="R93" s="27">
        <f>(1/(2*LOG(3.7*$I93/'Calculation Constants'!$B$2*1000)))^2</f>
        <v>8.7463077071963571E-3</v>
      </c>
      <c r="S93" s="19">
        <f t="shared" si="45"/>
        <v>1.2752477269849725</v>
      </c>
      <c r="T93" s="19">
        <f>IF($H93&gt;0,'Calculation Constants'!$B$9*Hydraulics!$K93^2/2/9.81/MAX($F$4:$F$253)*$H93,"")</f>
        <v>7.8734226558858159E-2</v>
      </c>
      <c r="U93" s="19">
        <f t="shared" si="46"/>
        <v>1.3539819535438307</v>
      </c>
      <c r="V93" s="19">
        <f t="shared" si="32"/>
        <v>0</v>
      </c>
      <c r="W93" s="19">
        <f t="shared" si="33"/>
        <v>98.554371419489939</v>
      </c>
      <c r="X93" s="23">
        <f t="shared" si="34"/>
        <v>1026.86537141949</v>
      </c>
      <c r="Y93" s="22">
        <f>(1/(2*LOG(3.7*$I93/'Calculation Constants'!$B$3*1000)))^2</f>
        <v>9.8211436332891755E-3</v>
      </c>
      <c r="Z93" s="19">
        <f t="shared" si="35"/>
        <v>1.431963236834217</v>
      </c>
      <c r="AA93" s="19">
        <f>IF($H93&gt;0,'Calculation Constants'!$B$9*Hydraulics!$K93^2/2/9.81/MAX($F$4:$F$253)*$H93,"")</f>
        <v>7.8734226558858159E-2</v>
      </c>
      <c r="AB93" s="19">
        <f t="shared" si="54"/>
        <v>1.5106974633930752</v>
      </c>
      <c r="AC93" s="19">
        <f t="shared" si="36"/>
        <v>0</v>
      </c>
      <c r="AD93" s="19">
        <f t="shared" si="47"/>
        <v>88.807550143445724</v>
      </c>
      <c r="AE93" s="23">
        <f t="shared" si="37"/>
        <v>1017.1185501434458</v>
      </c>
      <c r="AF93" s="27">
        <f>(1/(2*LOG(3.7*$I93/'Calculation Constants'!$B$4*1000)))^2</f>
        <v>1.1575055557914658E-2</v>
      </c>
      <c r="AG93" s="19">
        <f t="shared" si="38"/>
        <v>1.6876908272744866</v>
      </c>
      <c r="AH93" s="19">
        <f>IF($H93&gt;0,'Calculation Constants'!$B$9*Hydraulics!$K93^2/2/9.81/MAX($F$4:$F$253)*$H93,"")</f>
        <v>7.8734226558858159E-2</v>
      </c>
      <c r="AI93" s="19">
        <f t="shared" si="48"/>
        <v>1.7664250538333448</v>
      </c>
      <c r="AJ93" s="19">
        <f t="shared" si="39"/>
        <v>0</v>
      </c>
      <c r="AK93" s="19">
        <f t="shared" si="49"/>
        <v>72.915697031304376</v>
      </c>
      <c r="AL93" s="23">
        <f t="shared" si="40"/>
        <v>1001.2266970313044</v>
      </c>
      <c r="AM93" s="22">
        <f>(1/(2*LOG(3.7*($I93-0.008)/'Calculation Constants'!$B$5*1000)))^2</f>
        <v>1.4709705891825043E-2</v>
      </c>
      <c r="AN93" s="19">
        <f t="shared" si="50"/>
        <v>2.1543104841910781</v>
      </c>
      <c r="AO93" s="19">
        <f>IF($H93&gt;0,'Calculation Constants'!$B$9*Hydraulics!$K93^2/2/9.81/MAX($F$4:$F$253)*$H93,"")</f>
        <v>7.8734226558858159E-2</v>
      </c>
      <c r="AP93" s="19">
        <f t="shared" si="51"/>
        <v>2.2330447107499363</v>
      </c>
      <c r="AQ93" s="19">
        <f t="shared" si="41"/>
        <v>0</v>
      </c>
      <c r="AR93" s="19">
        <f t="shared" si="52"/>
        <v>43.984646142121164</v>
      </c>
      <c r="AS93" s="23">
        <f t="shared" si="42"/>
        <v>972.2956461421212</v>
      </c>
    </row>
    <row r="94" spans="5:45">
      <c r="E94" s="35" t="str">
        <f t="shared" si="28"/>
        <v/>
      </c>
      <c r="F94" s="19">
        <f>'Profile data'!A94</f>
        <v>182</v>
      </c>
      <c r="G94" s="19">
        <f>VLOOKUP(F94,'Profile data'!A94:C353,IF($B$22="Botswana 1",2,3))</f>
        <v>924.17899999999997</v>
      </c>
      <c r="H94" s="19">
        <f t="shared" si="53"/>
        <v>2</v>
      </c>
      <c r="I94" s="19">
        <v>1.8</v>
      </c>
      <c r="J94" s="36">
        <f>'Flow Rate Calculations'!$B$7</f>
        <v>4.0831050228310497</v>
      </c>
      <c r="K94" s="36">
        <f t="shared" si="43"/>
        <v>1.6045588828318709</v>
      </c>
      <c r="L94" s="37">
        <f>$I94*$K94/'Calculation Constants'!$B$7</f>
        <v>2555934.503625989</v>
      </c>
      <c r="M94" s="37">
        <f t="shared" si="29"/>
        <v>187.4910000000001</v>
      </c>
      <c r="N94" s="23">
        <f t="shared" si="44"/>
        <v>101.33238946594622</v>
      </c>
      <c r="O94" s="55">
        <f t="shared" si="30"/>
        <v>187.4910000000001</v>
      </c>
      <c r="P94" s="64">
        <f>MAX(I94*1000/'Calculation Constants'!$B$14,O94*10*I94*1000/2/('Calculation Constants'!$B$12*1000*'Calculation Constants'!$B$13))</f>
        <v>11.25</v>
      </c>
      <c r="Q94" s="66">
        <f t="shared" si="31"/>
        <v>992548.40161508287</v>
      </c>
      <c r="R94" s="27">
        <f>(1/(2*LOG(3.7*$I94/'Calculation Constants'!$B$2*1000)))^2</f>
        <v>8.7463077071963571E-3</v>
      </c>
      <c r="S94" s="19">
        <f t="shared" si="45"/>
        <v>1.2752477269849725</v>
      </c>
      <c r="T94" s="19">
        <f>IF($H94&gt;0,'Calculation Constants'!$B$9*Hydraulics!$K94^2/2/9.81/MAX($F$4:$F$253)*$H94,"")</f>
        <v>7.8734226558858159E-2</v>
      </c>
      <c r="U94" s="19">
        <f t="shared" si="46"/>
        <v>1.3539819535438307</v>
      </c>
      <c r="V94" s="19">
        <f t="shared" si="32"/>
        <v>0</v>
      </c>
      <c r="W94" s="19">
        <f t="shared" si="33"/>
        <v>101.33238946594622</v>
      </c>
      <c r="X94" s="23">
        <f t="shared" si="34"/>
        <v>1025.5113894659462</v>
      </c>
      <c r="Y94" s="22">
        <f>(1/(2*LOG(3.7*$I94/'Calculation Constants'!$B$3*1000)))^2</f>
        <v>9.8211436332891755E-3</v>
      </c>
      <c r="Z94" s="19">
        <f t="shared" si="35"/>
        <v>1.431963236834217</v>
      </c>
      <c r="AA94" s="19">
        <f>IF($H94&gt;0,'Calculation Constants'!$B$9*Hydraulics!$K94^2/2/9.81/MAX($F$4:$F$253)*$H94,"")</f>
        <v>7.8734226558858159E-2</v>
      </c>
      <c r="AB94" s="19">
        <f t="shared" si="54"/>
        <v>1.5106974633930752</v>
      </c>
      <c r="AC94" s="19">
        <f t="shared" si="36"/>
        <v>0</v>
      </c>
      <c r="AD94" s="19">
        <f t="shared" si="47"/>
        <v>91.428852680052728</v>
      </c>
      <c r="AE94" s="23">
        <f t="shared" si="37"/>
        <v>1015.6078526800527</v>
      </c>
      <c r="AF94" s="27">
        <f>(1/(2*LOG(3.7*$I94/'Calculation Constants'!$B$4*1000)))^2</f>
        <v>1.1575055557914658E-2</v>
      </c>
      <c r="AG94" s="19">
        <f t="shared" si="38"/>
        <v>1.6876908272744866</v>
      </c>
      <c r="AH94" s="19">
        <f>IF($H94&gt;0,'Calculation Constants'!$B$9*Hydraulics!$K94^2/2/9.81/MAX($F$4:$F$253)*$H94,"")</f>
        <v>7.8734226558858159E-2</v>
      </c>
      <c r="AI94" s="19">
        <f t="shared" si="48"/>
        <v>1.7664250538333448</v>
      </c>
      <c r="AJ94" s="19">
        <f t="shared" si="39"/>
        <v>0</v>
      </c>
      <c r="AK94" s="19">
        <f t="shared" si="49"/>
        <v>75.281271977471079</v>
      </c>
      <c r="AL94" s="23">
        <f t="shared" si="40"/>
        <v>999.46027197747105</v>
      </c>
      <c r="AM94" s="22">
        <f>(1/(2*LOG(3.7*($I94-0.008)/'Calculation Constants'!$B$5*1000)))^2</f>
        <v>1.4709705891825043E-2</v>
      </c>
      <c r="AN94" s="19">
        <f t="shared" si="50"/>
        <v>2.1543104841910781</v>
      </c>
      <c r="AO94" s="19">
        <f>IF($H94&gt;0,'Calculation Constants'!$B$9*Hydraulics!$K94^2/2/9.81/MAX($F$4:$F$253)*$H94,"")</f>
        <v>7.8734226558858159E-2</v>
      </c>
      <c r="AP94" s="19">
        <f t="shared" si="51"/>
        <v>2.2330447107499363</v>
      </c>
      <c r="AQ94" s="19">
        <f t="shared" si="41"/>
        <v>0</v>
      </c>
      <c r="AR94" s="19">
        <f t="shared" si="52"/>
        <v>45.883601431371289</v>
      </c>
      <c r="AS94" s="23">
        <f t="shared" si="42"/>
        <v>970.06260143137126</v>
      </c>
    </row>
    <row r="95" spans="5:45">
      <c r="E95" s="35" t="str">
        <f t="shared" si="28"/>
        <v/>
      </c>
      <c r="F95" s="19">
        <f>'Profile data'!A95</f>
        <v>184</v>
      </c>
      <c r="G95" s="19">
        <f>VLOOKUP(F95,'Profile data'!A95:C354,IF($B$22="Botswana 1",2,3))</f>
        <v>928.39800000000002</v>
      </c>
      <c r="H95" s="19">
        <f t="shared" si="53"/>
        <v>2</v>
      </c>
      <c r="I95" s="19">
        <v>1.8</v>
      </c>
      <c r="J95" s="36">
        <f>'Flow Rate Calculations'!$B$7</f>
        <v>4.0831050228310497</v>
      </c>
      <c r="K95" s="36">
        <f t="shared" si="43"/>
        <v>1.6045588828318709</v>
      </c>
      <c r="L95" s="37">
        <f>$I95*$K95/'Calculation Constants'!$B$7</f>
        <v>2555934.503625989</v>
      </c>
      <c r="M95" s="37">
        <f t="shared" si="29"/>
        <v>183.27200000000005</v>
      </c>
      <c r="N95" s="23">
        <f t="shared" si="44"/>
        <v>95.75940751240239</v>
      </c>
      <c r="O95" s="55">
        <f t="shared" si="30"/>
        <v>183.27200000000005</v>
      </c>
      <c r="P95" s="64">
        <f>MAX(I95*1000/'Calculation Constants'!$B$14,O95*10*I95*1000/2/('Calculation Constants'!$B$12*1000*'Calculation Constants'!$B$13))</f>
        <v>11.25</v>
      </c>
      <c r="Q95" s="66">
        <f t="shared" si="31"/>
        <v>992548.40161508287</v>
      </c>
      <c r="R95" s="27">
        <f>(1/(2*LOG(3.7*$I95/'Calculation Constants'!$B$2*1000)))^2</f>
        <v>8.7463077071963571E-3</v>
      </c>
      <c r="S95" s="19">
        <f t="shared" si="45"/>
        <v>1.2752477269849725</v>
      </c>
      <c r="T95" s="19">
        <f>IF($H95&gt;0,'Calculation Constants'!$B$9*Hydraulics!$K95^2/2/9.81/MAX($F$4:$F$253)*$H95,"")</f>
        <v>7.8734226558858159E-2</v>
      </c>
      <c r="U95" s="19">
        <f t="shared" si="46"/>
        <v>1.3539819535438307</v>
      </c>
      <c r="V95" s="19">
        <f t="shared" si="32"/>
        <v>0</v>
      </c>
      <c r="W95" s="19">
        <f t="shared" si="33"/>
        <v>95.75940751240239</v>
      </c>
      <c r="X95" s="23">
        <f t="shared" si="34"/>
        <v>1024.1574075124024</v>
      </c>
      <c r="Y95" s="22">
        <f>(1/(2*LOG(3.7*$I95/'Calculation Constants'!$B$3*1000)))^2</f>
        <v>9.8211436332891755E-3</v>
      </c>
      <c r="Z95" s="19">
        <f t="shared" si="35"/>
        <v>1.431963236834217</v>
      </c>
      <c r="AA95" s="19">
        <f>IF($H95&gt;0,'Calculation Constants'!$B$9*Hydraulics!$K95^2/2/9.81/MAX($F$4:$F$253)*$H95,"")</f>
        <v>7.8734226558858159E-2</v>
      </c>
      <c r="AB95" s="19">
        <f t="shared" si="54"/>
        <v>1.5106974633930752</v>
      </c>
      <c r="AC95" s="19">
        <f t="shared" si="36"/>
        <v>0</v>
      </c>
      <c r="AD95" s="19">
        <f t="shared" si="47"/>
        <v>85.699155216659619</v>
      </c>
      <c r="AE95" s="23">
        <f t="shared" si="37"/>
        <v>1014.0971552166596</v>
      </c>
      <c r="AF95" s="27">
        <f>(1/(2*LOG(3.7*$I95/'Calculation Constants'!$B$4*1000)))^2</f>
        <v>1.1575055557914658E-2</v>
      </c>
      <c r="AG95" s="19">
        <f t="shared" si="38"/>
        <v>1.6876908272744866</v>
      </c>
      <c r="AH95" s="19">
        <f>IF($H95&gt;0,'Calculation Constants'!$B$9*Hydraulics!$K95^2/2/9.81/MAX($F$4:$F$253)*$H95,"")</f>
        <v>7.8734226558858159E-2</v>
      </c>
      <c r="AI95" s="19">
        <f t="shared" si="48"/>
        <v>1.7664250538333448</v>
      </c>
      <c r="AJ95" s="19">
        <f t="shared" si="39"/>
        <v>0</v>
      </c>
      <c r="AK95" s="19">
        <f t="shared" si="49"/>
        <v>69.295846923637669</v>
      </c>
      <c r="AL95" s="23">
        <f t="shared" si="40"/>
        <v>997.69384692363769</v>
      </c>
      <c r="AM95" s="22">
        <f>(1/(2*LOG(3.7*($I95-0.008)/'Calculation Constants'!$B$5*1000)))^2</f>
        <v>1.4709705891825043E-2</v>
      </c>
      <c r="AN95" s="19">
        <f t="shared" si="50"/>
        <v>2.1543104841910781</v>
      </c>
      <c r="AO95" s="19">
        <f>IF($H95&gt;0,'Calculation Constants'!$B$9*Hydraulics!$K95^2/2/9.81/MAX($F$4:$F$253)*$H95,"")</f>
        <v>7.8734226558858159E-2</v>
      </c>
      <c r="AP95" s="19">
        <f t="shared" si="51"/>
        <v>2.2330447107499363</v>
      </c>
      <c r="AQ95" s="19">
        <f t="shared" si="41"/>
        <v>0</v>
      </c>
      <c r="AR95" s="19">
        <f t="shared" si="52"/>
        <v>39.431556720621302</v>
      </c>
      <c r="AS95" s="23">
        <f t="shared" si="42"/>
        <v>967.82955672062133</v>
      </c>
    </row>
    <row r="96" spans="5:45">
      <c r="E96" s="35" t="str">
        <f t="shared" si="28"/>
        <v/>
      </c>
      <c r="F96" s="19">
        <f>'Profile data'!A96</f>
        <v>186</v>
      </c>
      <c r="G96" s="19">
        <f>VLOOKUP(F96,'Profile data'!A96:C355,IF($B$22="Botswana 1",2,3))</f>
        <v>930.86599999999999</v>
      </c>
      <c r="H96" s="19">
        <f t="shared" si="53"/>
        <v>2</v>
      </c>
      <c r="I96" s="19">
        <v>1.8</v>
      </c>
      <c r="J96" s="36">
        <f>'Flow Rate Calculations'!$B$7</f>
        <v>4.0831050228310497</v>
      </c>
      <c r="K96" s="36">
        <f t="shared" si="43"/>
        <v>1.6045588828318709</v>
      </c>
      <c r="L96" s="37">
        <f>$I96*$K96/'Calculation Constants'!$B$7</f>
        <v>2555934.503625989</v>
      </c>
      <c r="M96" s="37">
        <f t="shared" si="29"/>
        <v>180.80400000000009</v>
      </c>
      <c r="N96" s="23">
        <f t="shared" si="44"/>
        <v>91.937425558858649</v>
      </c>
      <c r="O96" s="55">
        <f t="shared" si="30"/>
        <v>180.80400000000009</v>
      </c>
      <c r="P96" s="64">
        <f>MAX(I96*1000/'Calculation Constants'!$B$14,O96*10*I96*1000/2/('Calculation Constants'!$B$12*1000*'Calculation Constants'!$B$13))</f>
        <v>11.25</v>
      </c>
      <c r="Q96" s="66">
        <f t="shared" si="31"/>
        <v>992548.40161508287</v>
      </c>
      <c r="R96" s="27">
        <f>(1/(2*LOG(3.7*$I96/'Calculation Constants'!$B$2*1000)))^2</f>
        <v>8.7463077071963571E-3</v>
      </c>
      <c r="S96" s="19">
        <f t="shared" si="45"/>
        <v>1.2752477269849725</v>
      </c>
      <c r="T96" s="19">
        <f>IF($H96&gt;0,'Calculation Constants'!$B$9*Hydraulics!$K96^2/2/9.81/MAX($F$4:$F$253)*$H96,"")</f>
        <v>7.8734226558858159E-2</v>
      </c>
      <c r="U96" s="19">
        <f t="shared" si="46"/>
        <v>1.3539819535438307</v>
      </c>
      <c r="V96" s="19">
        <f t="shared" si="32"/>
        <v>0</v>
      </c>
      <c r="W96" s="19">
        <f t="shared" si="33"/>
        <v>91.937425558858649</v>
      </c>
      <c r="X96" s="23">
        <f t="shared" si="34"/>
        <v>1022.8034255588586</v>
      </c>
      <c r="Y96" s="22">
        <f>(1/(2*LOG(3.7*$I96/'Calculation Constants'!$B$3*1000)))^2</f>
        <v>9.8211436332891755E-3</v>
      </c>
      <c r="Z96" s="19">
        <f t="shared" si="35"/>
        <v>1.431963236834217</v>
      </c>
      <c r="AA96" s="19">
        <f>IF($H96&gt;0,'Calculation Constants'!$B$9*Hydraulics!$K96^2/2/9.81/MAX($F$4:$F$253)*$H96,"")</f>
        <v>7.8734226558858159E-2</v>
      </c>
      <c r="AB96" s="19">
        <f t="shared" si="54"/>
        <v>1.5106974633930752</v>
      </c>
      <c r="AC96" s="19">
        <f t="shared" si="36"/>
        <v>0</v>
      </c>
      <c r="AD96" s="19">
        <f t="shared" si="47"/>
        <v>81.720457753266601</v>
      </c>
      <c r="AE96" s="23">
        <f t="shared" si="37"/>
        <v>1012.5864577532666</v>
      </c>
      <c r="AF96" s="27">
        <f>(1/(2*LOG(3.7*$I96/'Calculation Constants'!$B$4*1000)))^2</f>
        <v>1.1575055557914658E-2</v>
      </c>
      <c r="AG96" s="19">
        <f t="shared" si="38"/>
        <v>1.6876908272744866</v>
      </c>
      <c r="AH96" s="19">
        <f>IF($H96&gt;0,'Calculation Constants'!$B$9*Hydraulics!$K96^2/2/9.81/MAX($F$4:$F$253)*$H96,"")</f>
        <v>7.8734226558858159E-2</v>
      </c>
      <c r="AI96" s="19">
        <f t="shared" si="48"/>
        <v>1.7664250538333448</v>
      </c>
      <c r="AJ96" s="19">
        <f t="shared" si="39"/>
        <v>0</v>
      </c>
      <c r="AK96" s="19">
        <f t="shared" si="49"/>
        <v>65.061421869804349</v>
      </c>
      <c r="AL96" s="23">
        <f t="shared" si="40"/>
        <v>995.92742186980433</v>
      </c>
      <c r="AM96" s="22">
        <f>(1/(2*LOG(3.7*($I96-0.008)/'Calculation Constants'!$B$5*1000)))^2</f>
        <v>1.4709705891825043E-2</v>
      </c>
      <c r="AN96" s="19">
        <f t="shared" si="50"/>
        <v>2.1543104841910781</v>
      </c>
      <c r="AO96" s="19">
        <f>IF($H96&gt;0,'Calculation Constants'!$B$9*Hydraulics!$K96^2/2/9.81/MAX($F$4:$F$253)*$H96,"")</f>
        <v>7.8734226558858159E-2</v>
      </c>
      <c r="AP96" s="19">
        <f t="shared" si="51"/>
        <v>2.2330447107499363</v>
      </c>
      <c r="AQ96" s="19">
        <f t="shared" si="41"/>
        <v>0</v>
      </c>
      <c r="AR96" s="19">
        <f t="shared" si="52"/>
        <v>34.730512009871404</v>
      </c>
      <c r="AS96" s="23">
        <f t="shared" si="42"/>
        <v>965.59651200987139</v>
      </c>
    </row>
    <row r="97" spans="5:45">
      <c r="E97" s="35" t="str">
        <f t="shared" si="28"/>
        <v/>
      </c>
      <c r="F97" s="19">
        <f>'Profile data'!A97</f>
        <v>188</v>
      </c>
      <c r="G97" s="19">
        <f>VLOOKUP(F97,'Profile data'!A97:C356,IF($B$22="Botswana 1",2,3))</f>
        <v>928.41099999999994</v>
      </c>
      <c r="H97" s="19">
        <f t="shared" si="53"/>
        <v>2</v>
      </c>
      <c r="I97" s="19">
        <v>1.8</v>
      </c>
      <c r="J97" s="36">
        <f>'Flow Rate Calculations'!$B$7</f>
        <v>4.0831050228310497</v>
      </c>
      <c r="K97" s="36">
        <f t="shared" si="43"/>
        <v>1.6045588828318709</v>
      </c>
      <c r="L97" s="37">
        <f>$I97*$K97/'Calculation Constants'!$B$7</f>
        <v>2555934.503625989</v>
      </c>
      <c r="M97" s="37">
        <f t="shared" si="29"/>
        <v>183.25900000000013</v>
      </c>
      <c r="N97" s="23">
        <f t="shared" si="44"/>
        <v>93.03844360531491</v>
      </c>
      <c r="O97" s="55">
        <f t="shared" si="30"/>
        <v>183.25900000000013</v>
      </c>
      <c r="P97" s="64">
        <f>MAX(I97*1000/'Calculation Constants'!$B$14,O97*10*I97*1000/2/('Calculation Constants'!$B$12*1000*'Calculation Constants'!$B$13))</f>
        <v>11.25</v>
      </c>
      <c r="Q97" s="66">
        <f t="shared" si="31"/>
        <v>992548.40161508287</v>
      </c>
      <c r="R97" s="27">
        <f>(1/(2*LOG(3.7*$I97/'Calculation Constants'!$B$2*1000)))^2</f>
        <v>8.7463077071963571E-3</v>
      </c>
      <c r="S97" s="19">
        <f t="shared" si="45"/>
        <v>1.2752477269849725</v>
      </c>
      <c r="T97" s="19">
        <f>IF($H97&gt;0,'Calculation Constants'!$B$9*Hydraulics!$K97^2/2/9.81/MAX($F$4:$F$253)*$H97,"")</f>
        <v>7.8734226558858159E-2</v>
      </c>
      <c r="U97" s="19">
        <f t="shared" si="46"/>
        <v>1.3539819535438307</v>
      </c>
      <c r="V97" s="19">
        <f t="shared" si="32"/>
        <v>0</v>
      </c>
      <c r="W97" s="19">
        <f t="shared" si="33"/>
        <v>93.03844360531491</v>
      </c>
      <c r="X97" s="23">
        <f t="shared" si="34"/>
        <v>1021.4494436053149</v>
      </c>
      <c r="Y97" s="22">
        <f>(1/(2*LOG(3.7*$I97/'Calculation Constants'!$B$3*1000)))^2</f>
        <v>9.8211436332891755E-3</v>
      </c>
      <c r="Z97" s="19">
        <f t="shared" si="35"/>
        <v>1.431963236834217</v>
      </c>
      <c r="AA97" s="19">
        <f>IF($H97&gt;0,'Calculation Constants'!$B$9*Hydraulics!$K97^2/2/9.81/MAX($F$4:$F$253)*$H97,"")</f>
        <v>7.8734226558858159E-2</v>
      </c>
      <c r="AB97" s="19">
        <f t="shared" si="54"/>
        <v>1.5106974633930752</v>
      </c>
      <c r="AC97" s="19">
        <f t="shared" si="36"/>
        <v>0</v>
      </c>
      <c r="AD97" s="19">
        <f t="shared" si="47"/>
        <v>82.664760289873584</v>
      </c>
      <c r="AE97" s="23">
        <f t="shared" si="37"/>
        <v>1011.0757602898735</v>
      </c>
      <c r="AF97" s="27">
        <f>(1/(2*LOG(3.7*$I97/'Calculation Constants'!$B$4*1000)))^2</f>
        <v>1.1575055557914658E-2</v>
      </c>
      <c r="AG97" s="19">
        <f t="shared" si="38"/>
        <v>1.6876908272744866</v>
      </c>
      <c r="AH97" s="19">
        <f>IF($H97&gt;0,'Calculation Constants'!$B$9*Hydraulics!$K97^2/2/9.81/MAX($F$4:$F$253)*$H97,"")</f>
        <v>7.8734226558858159E-2</v>
      </c>
      <c r="AI97" s="19">
        <f t="shared" si="48"/>
        <v>1.7664250538333448</v>
      </c>
      <c r="AJ97" s="19">
        <f t="shared" si="39"/>
        <v>0</v>
      </c>
      <c r="AK97" s="19">
        <f t="shared" si="49"/>
        <v>65.749996815971031</v>
      </c>
      <c r="AL97" s="23">
        <f t="shared" si="40"/>
        <v>994.16099681597098</v>
      </c>
      <c r="AM97" s="22">
        <f>(1/(2*LOG(3.7*($I97-0.008)/'Calculation Constants'!$B$5*1000)))^2</f>
        <v>1.4709705891825043E-2</v>
      </c>
      <c r="AN97" s="19">
        <f t="shared" si="50"/>
        <v>2.1543104841910781</v>
      </c>
      <c r="AO97" s="19">
        <f>IF($H97&gt;0,'Calculation Constants'!$B$9*Hydraulics!$K97^2/2/9.81/MAX($F$4:$F$253)*$H97,"")</f>
        <v>7.8734226558858159E-2</v>
      </c>
      <c r="AP97" s="19">
        <f t="shared" si="51"/>
        <v>2.2330447107499363</v>
      </c>
      <c r="AQ97" s="19">
        <f t="shared" si="41"/>
        <v>0</v>
      </c>
      <c r="AR97" s="19">
        <f t="shared" si="52"/>
        <v>34.952467299121508</v>
      </c>
      <c r="AS97" s="23">
        <f t="shared" si="42"/>
        <v>963.36346729912145</v>
      </c>
    </row>
    <row r="98" spans="5:45">
      <c r="E98" s="35" t="str">
        <f t="shared" si="28"/>
        <v/>
      </c>
      <c r="F98" s="19">
        <f>'Profile data'!A98</f>
        <v>190</v>
      </c>
      <c r="G98" s="19">
        <f>VLOOKUP(F98,'Profile data'!A98:C357,IF($B$22="Botswana 1",2,3))</f>
        <v>927.84900000000005</v>
      </c>
      <c r="H98" s="19">
        <f t="shared" si="53"/>
        <v>2</v>
      </c>
      <c r="I98" s="19">
        <v>1.8</v>
      </c>
      <c r="J98" s="36">
        <f>'Flow Rate Calculations'!$B$7</f>
        <v>4.0831050228310497</v>
      </c>
      <c r="K98" s="36">
        <f t="shared" si="43"/>
        <v>1.6045588828318709</v>
      </c>
      <c r="L98" s="37">
        <f>$I98*$K98/'Calculation Constants'!$B$7</f>
        <v>2555934.503625989</v>
      </c>
      <c r="M98" s="37">
        <f t="shared" si="29"/>
        <v>183.82100000000003</v>
      </c>
      <c r="N98" s="23">
        <f t="shared" si="44"/>
        <v>92.246461651771028</v>
      </c>
      <c r="O98" s="55">
        <f t="shared" si="30"/>
        <v>183.82100000000003</v>
      </c>
      <c r="P98" s="64">
        <f>MAX(I98*1000/'Calculation Constants'!$B$14,O98*10*I98*1000/2/('Calculation Constants'!$B$12*1000*'Calculation Constants'!$B$13))</f>
        <v>11.25</v>
      </c>
      <c r="Q98" s="66">
        <f t="shared" si="31"/>
        <v>992548.40161508287</v>
      </c>
      <c r="R98" s="27">
        <f>(1/(2*LOG(3.7*$I98/'Calculation Constants'!$B$2*1000)))^2</f>
        <v>8.7463077071963571E-3</v>
      </c>
      <c r="S98" s="19">
        <f t="shared" si="45"/>
        <v>1.2752477269849725</v>
      </c>
      <c r="T98" s="19">
        <f>IF($H98&gt;0,'Calculation Constants'!$B$9*Hydraulics!$K98^2/2/9.81/MAX($F$4:$F$253)*$H98,"")</f>
        <v>7.8734226558858159E-2</v>
      </c>
      <c r="U98" s="19">
        <f t="shared" si="46"/>
        <v>1.3539819535438307</v>
      </c>
      <c r="V98" s="19">
        <f t="shared" si="32"/>
        <v>0</v>
      </c>
      <c r="W98" s="19">
        <f t="shared" si="33"/>
        <v>92.246461651771028</v>
      </c>
      <c r="X98" s="23">
        <f t="shared" si="34"/>
        <v>1020.0954616517711</v>
      </c>
      <c r="Y98" s="22">
        <f>(1/(2*LOG(3.7*$I98/'Calculation Constants'!$B$3*1000)))^2</f>
        <v>9.8211436332891755E-3</v>
      </c>
      <c r="Z98" s="19">
        <f t="shared" si="35"/>
        <v>1.431963236834217</v>
      </c>
      <c r="AA98" s="19">
        <f>IF($H98&gt;0,'Calculation Constants'!$B$9*Hydraulics!$K98^2/2/9.81/MAX($F$4:$F$253)*$H98,"")</f>
        <v>7.8734226558858159E-2</v>
      </c>
      <c r="AB98" s="19">
        <f t="shared" si="54"/>
        <v>1.5106974633930752</v>
      </c>
      <c r="AC98" s="19">
        <f t="shared" si="36"/>
        <v>0</v>
      </c>
      <c r="AD98" s="19">
        <f t="shared" si="47"/>
        <v>81.716062826480425</v>
      </c>
      <c r="AE98" s="23">
        <f t="shared" si="37"/>
        <v>1009.5650628264805</v>
      </c>
      <c r="AF98" s="27">
        <f>(1/(2*LOG(3.7*$I98/'Calculation Constants'!$B$4*1000)))^2</f>
        <v>1.1575055557914658E-2</v>
      </c>
      <c r="AG98" s="19">
        <f t="shared" si="38"/>
        <v>1.6876908272744866</v>
      </c>
      <c r="AH98" s="19">
        <f>IF($H98&gt;0,'Calculation Constants'!$B$9*Hydraulics!$K98^2/2/9.81/MAX($F$4:$F$253)*$H98,"")</f>
        <v>7.8734226558858159E-2</v>
      </c>
      <c r="AI98" s="19">
        <f t="shared" si="48"/>
        <v>1.7664250538333448</v>
      </c>
      <c r="AJ98" s="19">
        <f t="shared" si="39"/>
        <v>0</v>
      </c>
      <c r="AK98" s="19">
        <f t="shared" si="49"/>
        <v>64.54557176213757</v>
      </c>
      <c r="AL98" s="23">
        <f t="shared" si="40"/>
        <v>992.39457176213762</v>
      </c>
      <c r="AM98" s="22">
        <f>(1/(2*LOG(3.7*($I98-0.008)/'Calculation Constants'!$B$5*1000)))^2</f>
        <v>1.4709705891825043E-2</v>
      </c>
      <c r="AN98" s="19">
        <f t="shared" si="50"/>
        <v>2.1543104841910781</v>
      </c>
      <c r="AO98" s="19">
        <f>IF($H98&gt;0,'Calculation Constants'!$B$9*Hydraulics!$K98^2/2/9.81/MAX($F$4:$F$253)*$H98,"")</f>
        <v>7.8734226558858159E-2</v>
      </c>
      <c r="AP98" s="19">
        <f t="shared" si="51"/>
        <v>2.2330447107499363</v>
      </c>
      <c r="AQ98" s="19">
        <f t="shared" si="41"/>
        <v>0</v>
      </c>
      <c r="AR98" s="19">
        <f t="shared" si="52"/>
        <v>33.28142258837147</v>
      </c>
      <c r="AS98" s="23">
        <f t="shared" si="42"/>
        <v>961.13042258837152</v>
      </c>
    </row>
    <row r="99" spans="5:45">
      <c r="E99" s="35" t="str">
        <f t="shared" si="28"/>
        <v/>
      </c>
      <c r="F99" s="19">
        <f>'Profile data'!A99</f>
        <v>192</v>
      </c>
      <c r="G99" s="19">
        <f>VLOOKUP(F99,'Profile data'!A99:C358,IF($B$22="Botswana 1",2,3))</f>
        <v>926.71</v>
      </c>
      <c r="H99" s="19">
        <f t="shared" si="53"/>
        <v>2</v>
      </c>
      <c r="I99" s="19">
        <v>1.8</v>
      </c>
      <c r="J99" s="36">
        <f>'Flow Rate Calculations'!$B$7</f>
        <v>4.0831050228310497</v>
      </c>
      <c r="K99" s="36">
        <f t="shared" si="43"/>
        <v>1.6045588828318709</v>
      </c>
      <c r="L99" s="37">
        <f>$I99*$K99/'Calculation Constants'!$B$7</f>
        <v>2555934.503625989</v>
      </c>
      <c r="M99" s="37">
        <f t="shared" si="29"/>
        <v>184.96000000000004</v>
      </c>
      <c r="N99" s="23">
        <f t="shared" si="44"/>
        <v>92.031479698227258</v>
      </c>
      <c r="O99" s="55">
        <f t="shared" si="30"/>
        <v>184.96000000000004</v>
      </c>
      <c r="P99" s="64">
        <f>MAX(I99*1000/'Calculation Constants'!$B$14,O99*10*I99*1000/2/('Calculation Constants'!$B$12*1000*'Calculation Constants'!$B$13))</f>
        <v>11.25</v>
      </c>
      <c r="Q99" s="66">
        <f t="shared" si="31"/>
        <v>992548.40161508287</v>
      </c>
      <c r="R99" s="27">
        <f>(1/(2*LOG(3.7*$I99/'Calculation Constants'!$B$2*1000)))^2</f>
        <v>8.7463077071963571E-3</v>
      </c>
      <c r="S99" s="19">
        <f t="shared" si="45"/>
        <v>1.2752477269849725</v>
      </c>
      <c r="T99" s="19">
        <f>IF($H99&gt;0,'Calculation Constants'!$B$9*Hydraulics!$K99^2/2/9.81/MAX($F$4:$F$253)*$H99,"")</f>
        <v>7.8734226558858159E-2</v>
      </c>
      <c r="U99" s="19">
        <f t="shared" si="46"/>
        <v>1.3539819535438307</v>
      </c>
      <c r="V99" s="19">
        <f t="shared" si="32"/>
        <v>0</v>
      </c>
      <c r="W99" s="19">
        <f t="shared" si="33"/>
        <v>92.031479698227258</v>
      </c>
      <c r="X99" s="23">
        <f t="shared" si="34"/>
        <v>1018.7414796982273</v>
      </c>
      <c r="Y99" s="22">
        <f>(1/(2*LOG(3.7*$I99/'Calculation Constants'!$B$3*1000)))^2</f>
        <v>9.8211436332891755E-3</v>
      </c>
      <c r="Z99" s="19">
        <f t="shared" si="35"/>
        <v>1.431963236834217</v>
      </c>
      <c r="AA99" s="19">
        <f>IF($H99&gt;0,'Calculation Constants'!$B$9*Hydraulics!$K99^2/2/9.81/MAX($F$4:$F$253)*$H99,"")</f>
        <v>7.8734226558858159E-2</v>
      </c>
      <c r="AB99" s="19">
        <f t="shared" si="54"/>
        <v>1.5106974633930752</v>
      </c>
      <c r="AC99" s="19">
        <f t="shared" si="36"/>
        <v>0</v>
      </c>
      <c r="AD99" s="19">
        <f t="shared" si="47"/>
        <v>81.344365363087377</v>
      </c>
      <c r="AE99" s="23">
        <f t="shared" si="37"/>
        <v>1008.0543653630874</v>
      </c>
      <c r="AF99" s="27">
        <f>(1/(2*LOG(3.7*$I99/'Calculation Constants'!$B$4*1000)))^2</f>
        <v>1.1575055557914658E-2</v>
      </c>
      <c r="AG99" s="19">
        <f t="shared" si="38"/>
        <v>1.6876908272744866</v>
      </c>
      <c r="AH99" s="19">
        <f>IF($H99&gt;0,'Calculation Constants'!$B$9*Hydraulics!$K99^2/2/9.81/MAX($F$4:$F$253)*$H99,"")</f>
        <v>7.8734226558858159E-2</v>
      </c>
      <c r="AI99" s="19">
        <f t="shared" si="48"/>
        <v>1.7664250538333448</v>
      </c>
      <c r="AJ99" s="19">
        <f t="shared" si="39"/>
        <v>0</v>
      </c>
      <c r="AK99" s="19">
        <f t="shared" si="49"/>
        <v>63.918146708304221</v>
      </c>
      <c r="AL99" s="23">
        <f t="shared" si="40"/>
        <v>990.62814670830426</v>
      </c>
      <c r="AM99" s="22">
        <f>(1/(2*LOG(3.7*($I99-0.008)/'Calculation Constants'!$B$5*1000)))^2</f>
        <v>1.4709705891825043E-2</v>
      </c>
      <c r="AN99" s="19">
        <f t="shared" si="50"/>
        <v>2.1543104841910781</v>
      </c>
      <c r="AO99" s="19">
        <f>IF($H99&gt;0,'Calculation Constants'!$B$9*Hydraulics!$K99^2/2/9.81/MAX($F$4:$F$253)*$H99,"")</f>
        <v>7.8734226558858159E-2</v>
      </c>
      <c r="AP99" s="19">
        <f t="shared" si="51"/>
        <v>2.2330447107499363</v>
      </c>
      <c r="AQ99" s="19">
        <f t="shared" si="41"/>
        <v>0</v>
      </c>
      <c r="AR99" s="19">
        <f t="shared" si="52"/>
        <v>32.187377877621543</v>
      </c>
      <c r="AS99" s="23">
        <f t="shared" si="42"/>
        <v>958.89737787762158</v>
      </c>
    </row>
    <row r="100" spans="5:45">
      <c r="E100" s="35" t="str">
        <f t="shared" si="28"/>
        <v/>
      </c>
      <c r="F100" s="19">
        <f>'Profile data'!A100</f>
        <v>194</v>
      </c>
      <c r="G100" s="19">
        <f>VLOOKUP(F100,'Profile data'!A100:C359,IF($B$22="Botswana 1",2,3))</f>
        <v>926.20100000000002</v>
      </c>
      <c r="H100" s="19">
        <f t="shared" si="53"/>
        <v>2</v>
      </c>
      <c r="I100" s="19">
        <v>1.8</v>
      </c>
      <c r="J100" s="36">
        <f>'Flow Rate Calculations'!$B$7</f>
        <v>4.0831050228310497</v>
      </c>
      <c r="K100" s="36">
        <f t="shared" si="43"/>
        <v>1.6045588828318709</v>
      </c>
      <c r="L100" s="37">
        <f>$I100*$K100/'Calculation Constants'!$B$7</f>
        <v>2555934.503625989</v>
      </c>
      <c r="M100" s="37">
        <f t="shared" si="29"/>
        <v>185.46900000000005</v>
      </c>
      <c r="N100" s="23">
        <f t="shared" si="44"/>
        <v>91.186497744683493</v>
      </c>
      <c r="O100" s="55">
        <f t="shared" si="30"/>
        <v>185.46900000000005</v>
      </c>
      <c r="P100" s="64">
        <f>MAX(I100*1000/'Calculation Constants'!$B$14,O100*10*I100*1000/2/('Calculation Constants'!$B$12*1000*'Calculation Constants'!$B$13))</f>
        <v>11.25</v>
      </c>
      <c r="Q100" s="66">
        <f t="shared" si="31"/>
        <v>992548.40161508287</v>
      </c>
      <c r="R100" s="27">
        <f>(1/(2*LOG(3.7*$I100/'Calculation Constants'!$B$2*1000)))^2</f>
        <v>8.7463077071963571E-3</v>
      </c>
      <c r="S100" s="19">
        <f t="shared" si="45"/>
        <v>1.2752477269849725</v>
      </c>
      <c r="T100" s="19">
        <f>IF($H100&gt;0,'Calculation Constants'!$B$9*Hydraulics!$K100^2/2/9.81/MAX($F$4:$F$253)*$H100,"")</f>
        <v>7.8734226558858159E-2</v>
      </c>
      <c r="U100" s="19">
        <f t="shared" si="46"/>
        <v>1.3539819535438307</v>
      </c>
      <c r="V100" s="19">
        <f t="shared" si="32"/>
        <v>0</v>
      </c>
      <c r="W100" s="19">
        <f t="shared" si="33"/>
        <v>91.186497744683493</v>
      </c>
      <c r="X100" s="23">
        <f t="shared" si="34"/>
        <v>1017.3874977446835</v>
      </c>
      <c r="Y100" s="22">
        <f>(1/(2*LOG(3.7*$I100/'Calculation Constants'!$B$3*1000)))^2</f>
        <v>9.8211436332891755E-3</v>
      </c>
      <c r="Z100" s="19">
        <f t="shared" si="35"/>
        <v>1.431963236834217</v>
      </c>
      <c r="AA100" s="19">
        <f>IF($H100&gt;0,'Calculation Constants'!$B$9*Hydraulics!$K100^2/2/9.81/MAX($F$4:$F$253)*$H100,"")</f>
        <v>7.8734226558858159E-2</v>
      </c>
      <c r="AB100" s="19">
        <f t="shared" si="54"/>
        <v>1.5106974633930752</v>
      </c>
      <c r="AC100" s="19">
        <f t="shared" si="36"/>
        <v>0</v>
      </c>
      <c r="AD100" s="19">
        <f t="shared" si="47"/>
        <v>80.342667899694334</v>
      </c>
      <c r="AE100" s="23">
        <f t="shared" si="37"/>
        <v>1006.5436678996944</v>
      </c>
      <c r="AF100" s="27">
        <f>(1/(2*LOG(3.7*$I100/'Calculation Constants'!$B$4*1000)))^2</f>
        <v>1.1575055557914658E-2</v>
      </c>
      <c r="AG100" s="19">
        <f t="shared" si="38"/>
        <v>1.6876908272744866</v>
      </c>
      <c r="AH100" s="19">
        <f>IF($H100&gt;0,'Calculation Constants'!$B$9*Hydraulics!$K100^2/2/9.81/MAX($F$4:$F$253)*$H100,"")</f>
        <v>7.8734226558858159E-2</v>
      </c>
      <c r="AI100" s="19">
        <f t="shared" si="48"/>
        <v>1.7664250538333448</v>
      </c>
      <c r="AJ100" s="19">
        <f t="shared" si="39"/>
        <v>0</v>
      </c>
      <c r="AK100" s="19">
        <f t="shared" si="49"/>
        <v>62.660721654470876</v>
      </c>
      <c r="AL100" s="23">
        <f t="shared" si="40"/>
        <v>988.8617216544709</v>
      </c>
      <c r="AM100" s="22">
        <f>(1/(2*LOG(3.7*($I100-0.008)/'Calculation Constants'!$B$5*1000)))^2</f>
        <v>1.4709705891825043E-2</v>
      </c>
      <c r="AN100" s="19">
        <f t="shared" si="50"/>
        <v>2.1543104841910781</v>
      </c>
      <c r="AO100" s="19">
        <f>IF($H100&gt;0,'Calculation Constants'!$B$9*Hydraulics!$K100^2/2/9.81/MAX($F$4:$F$253)*$H100,"")</f>
        <v>7.8734226558858159E-2</v>
      </c>
      <c r="AP100" s="19">
        <f t="shared" si="51"/>
        <v>2.2330447107499363</v>
      </c>
      <c r="AQ100" s="19">
        <f t="shared" si="41"/>
        <v>0</v>
      </c>
      <c r="AR100" s="19">
        <f t="shared" si="52"/>
        <v>30.463333166871621</v>
      </c>
      <c r="AS100" s="23">
        <f t="shared" si="42"/>
        <v>956.66433316687164</v>
      </c>
    </row>
    <row r="101" spans="5:45">
      <c r="E101" s="35" t="str">
        <f t="shared" si="28"/>
        <v/>
      </c>
      <c r="F101" s="19">
        <f>'Profile data'!A101</f>
        <v>196</v>
      </c>
      <c r="G101" s="19">
        <f>VLOOKUP(F101,'Profile data'!A101:C360,IF($B$22="Botswana 1",2,3))</f>
        <v>924.50900000000001</v>
      </c>
      <c r="H101" s="19">
        <f t="shared" si="53"/>
        <v>2</v>
      </c>
      <c r="I101" s="19">
        <v>1.8</v>
      </c>
      <c r="J101" s="36">
        <f>'Flow Rate Calculations'!$B$7</f>
        <v>4.0831050228310497</v>
      </c>
      <c r="K101" s="36">
        <f t="shared" si="43"/>
        <v>1.6045588828318709</v>
      </c>
      <c r="L101" s="37">
        <f>$I101*$K101/'Calculation Constants'!$B$7</f>
        <v>2555934.503625989</v>
      </c>
      <c r="M101" s="37">
        <f t="shared" si="29"/>
        <v>187.16100000000006</v>
      </c>
      <c r="N101" s="23">
        <f t="shared" si="44"/>
        <v>91.52451579113972</v>
      </c>
      <c r="O101" s="55">
        <f t="shared" si="30"/>
        <v>187.16100000000006</v>
      </c>
      <c r="P101" s="64">
        <f>MAX(I101*1000/'Calculation Constants'!$B$14,O101*10*I101*1000/2/('Calculation Constants'!$B$12*1000*'Calculation Constants'!$B$13))</f>
        <v>11.25</v>
      </c>
      <c r="Q101" s="66">
        <f t="shared" si="31"/>
        <v>992548.40161508287</v>
      </c>
      <c r="R101" s="27">
        <f>(1/(2*LOG(3.7*$I101/'Calculation Constants'!$B$2*1000)))^2</f>
        <v>8.7463077071963571E-3</v>
      </c>
      <c r="S101" s="19">
        <f t="shared" si="45"/>
        <v>1.2752477269849725</v>
      </c>
      <c r="T101" s="19">
        <f>IF($H101&gt;0,'Calculation Constants'!$B$9*Hydraulics!$K101^2/2/9.81/MAX($F$4:$F$253)*$H101,"")</f>
        <v>7.8734226558858159E-2</v>
      </c>
      <c r="U101" s="19">
        <f t="shared" si="46"/>
        <v>1.3539819535438307</v>
      </c>
      <c r="V101" s="19">
        <f t="shared" si="32"/>
        <v>0</v>
      </c>
      <c r="W101" s="19">
        <f t="shared" si="33"/>
        <v>91.52451579113972</v>
      </c>
      <c r="X101" s="23">
        <f t="shared" si="34"/>
        <v>1016.0335157911397</v>
      </c>
      <c r="Y101" s="22">
        <f>(1/(2*LOG(3.7*$I101/'Calculation Constants'!$B$3*1000)))^2</f>
        <v>9.8211436332891755E-3</v>
      </c>
      <c r="Z101" s="19">
        <f t="shared" si="35"/>
        <v>1.431963236834217</v>
      </c>
      <c r="AA101" s="19">
        <f>IF($H101&gt;0,'Calculation Constants'!$B$9*Hydraulics!$K101^2/2/9.81/MAX($F$4:$F$253)*$H101,"")</f>
        <v>7.8734226558858159E-2</v>
      </c>
      <c r="AB101" s="19">
        <f t="shared" si="54"/>
        <v>1.5106974633930752</v>
      </c>
      <c r="AC101" s="19">
        <f t="shared" si="36"/>
        <v>0</v>
      </c>
      <c r="AD101" s="19">
        <f t="shared" si="47"/>
        <v>80.523970436301283</v>
      </c>
      <c r="AE101" s="23">
        <f t="shared" si="37"/>
        <v>1005.0329704363013</v>
      </c>
      <c r="AF101" s="27">
        <f>(1/(2*LOG(3.7*$I101/'Calculation Constants'!$B$4*1000)))^2</f>
        <v>1.1575055557914658E-2</v>
      </c>
      <c r="AG101" s="19">
        <f t="shared" si="38"/>
        <v>1.6876908272744866</v>
      </c>
      <c r="AH101" s="19">
        <f>IF($H101&gt;0,'Calculation Constants'!$B$9*Hydraulics!$K101^2/2/9.81/MAX($F$4:$F$253)*$H101,"")</f>
        <v>7.8734226558858159E-2</v>
      </c>
      <c r="AI101" s="19">
        <f t="shared" si="48"/>
        <v>1.7664250538333448</v>
      </c>
      <c r="AJ101" s="19">
        <f t="shared" si="39"/>
        <v>0</v>
      </c>
      <c r="AK101" s="19">
        <f t="shared" si="49"/>
        <v>62.586296600637525</v>
      </c>
      <c r="AL101" s="23">
        <f t="shared" si="40"/>
        <v>987.09529660063754</v>
      </c>
      <c r="AM101" s="22">
        <f>(1/(2*LOG(3.7*($I101-0.008)/'Calculation Constants'!$B$5*1000)))^2</f>
        <v>1.4709705891825043E-2</v>
      </c>
      <c r="AN101" s="19">
        <f t="shared" si="50"/>
        <v>2.1543104841910781</v>
      </c>
      <c r="AO101" s="19">
        <f>IF($H101&gt;0,'Calculation Constants'!$B$9*Hydraulics!$K101^2/2/9.81/MAX($F$4:$F$253)*$H101,"")</f>
        <v>7.8734226558858159E-2</v>
      </c>
      <c r="AP101" s="19">
        <f t="shared" si="51"/>
        <v>2.2330447107499363</v>
      </c>
      <c r="AQ101" s="19">
        <f t="shared" si="41"/>
        <v>0</v>
      </c>
      <c r="AR101" s="19">
        <f t="shared" si="52"/>
        <v>29.922288456121692</v>
      </c>
      <c r="AS101" s="23">
        <f t="shared" si="42"/>
        <v>954.43128845612171</v>
      </c>
    </row>
    <row r="102" spans="5:45">
      <c r="E102" s="35" t="str">
        <f t="shared" si="28"/>
        <v/>
      </c>
      <c r="F102" s="19">
        <f>'Profile data'!A102</f>
        <v>198</v>
      </c>
      <c r="G102" s="19">
        <f>VLOOKUP(F102,'Profile data'!A102:C361,IF($B$22="Botswana 1",2,3))</f>
        <v>923.41700000000003</v>
      </c>
      <c r="H102" s="19">
        <f t="shared" si="53"/>
        <v>2</v>
      </c>
      <c r="I102" s="19">
        <v>1.8</v>
      </c>
      <c r="J102" s="36">
        <f>'Flow Rate Calculations'!$B$7</f>
        <v>4.0831050228310497</v>
      </c>
      <c r="K102" s="36">
        <f t="shared" si="43"/>
        <v>1.6045588828318709</v>
      </c>
      <c r="L102" s="37">
        <f>$I102*$K102/'Calculation Constants'!$B$7</f>
        <v>2555934.503625989</v>
      </c>
      <c r="M102" s="37">
        <f t="shared" si="29"/>
        <v>188.25300000000004</v>
      </c>
      <c r="N102" s="23">
        <f t="shared" si="44"/>
        <v>91.262533837595925</v>
      </c>
      <c r="O102" s="55">
        <f t="shared" si="30"/>
        <v>188.25300000000004</v>
      </c>
      <c r="P102" s="64">
        <f>MAX(I102*1000/'Calculation Constants'!$B$14,O102*10*I102*1000/2/('Calculation Constants'!$B$12*1000*'Calculation Constants'!$B$13))</f>
        <v>11.295180000000004</v>
      </c>
      <c r="Q102" s="66">
        <f t="shared" si="31"/>
        <v>996509.30566606077</v>
      </c>
      <c r="R102" s="27">
        <f>(1/(2*LOG(3.7*$I102/'Calculation Constants'!$B$2*1000)))^2</f>
        <v>8.7463077071963571E-3</v>
      </c>
      <c r="S102" s="19">
        <f t="shared" si="45"/>
        <v>1.2752477269849725</v>
      </c>
      <c r="T102" s="19">
        <f>IF($H102&gt;0,'Calculation Constants'!$B$9*Hydraulics!$K102^2/2/9.81/MAX($F$4:$F$253)*$H102,"")</f>
        <v>7.8734226558858159E-2</v>
      </c>
      <c r="U102" s="19">
        <f t="shared" si="46"/>
        <v>1.3539819535438307</v>
      </c>
      <c r="V102" s="19">
        <f t="shared" si="32"/>
        <v>0</v>
      </c>
      <c r="W102" s="19">
        <f t="shared" si="33"/>
        <v>91.262533837595925</v>
      </c>
      <c r="X102" s="23">
        <f t="shared" si="34"/>
        <v>1014.679533837596</v>
      </c>
      <c r="Y102" s="22">
        <f>(1/(2*LOG(3.7*$I102/'Calculation Constants'!$B$3*1000)))^2</f>
        <v>9.8211436332891755E-3</v>
      </c>
      <c r="Z102" s="19">
        <f t="shared" si="35"/>
        <v>1.431963236834217</v>
      </c>
      <c r="AA102" s="19">
        <f>IF($H102&gt;0,'Calculation Constants'!$B$9*Hydraulics!$K102^2/2/9.81/MAX($F$4:$F$253)*$H102,"")</f>
        <v>7.8734226558858159E-2</v>
      </c>
      <c r="AB102" s="19">
        <f t="shared" si="54"/>
        <v>1.5106974633930752</v>
      </c>
      <c r="AC102" s="19">
        <f t="shared" si="36"/>
        <v>0</v>
      </c>
      <c r="AD102" s="19">
        <f t="shared" si="47"/>
        <v>80.10527297290821</v>
      </c>
      <c r="AE102" s="23">
        <f t="shared" si="37"/>
        <v>1003.5222729729082</v>
      </c>
      <c r="AF102" s="27">
        <f>(1/(2*LOG(3.7*$I102/'Calculation Constants'!$B$4*1000)))^2</f>
        <v>1.1575055557914658E-2</v>
      </c>
      <c r="AG102" s="19">
        <f t="shared" si="38"/>
        <v>1.6876908272744866</v>
      </c>
      <c r="AH102" s="19">
        <f>IF($H102&gt;0,'Calculation Constants'!$B$9*Hydraulics!$K102^2/2/9.81/MAX($F$4:$F$253)*$H102,"")</f>
        <v>7.8734226558858159E-2</v>
      </c>
      <c r="AI102" s="19">
        <f t="shared" si="48"/>
        <v>1.7664250538333448</v>
      </c>
      <c r="AJ102" s="19">
        <f t="shared" si="39"/>
        <v>0</v>
      </c>
      <c r="AK102" s="19">
        <f t="shared" si="49"/>
        <v>61.91187154680415</v>
      </c>
      <c r="AL102" s="23">
        <f t="shared" si="40"/>
        <v>985.32887154680418</v>
      </c>
      <c r="AM102" s="22">
        <f>(1/(2*LOG(3.7*($I102-0.008)/'Calculation Constants'!$B$5*1000)))^2</f>
        <v>1.4709705891825043E-2</v>
      </c>
      <c r="AN102" s="19">
        <f t="shared" si="50"/>
        <v>2.1543104841910781</v>
      </c>
      <c r="AO102" s="19">
        <f>IF($H102&gt;0,'Calculation Constants'!$B$9*Hydraulics!$K102^2/2/9.81/MAX($F$4:$F$253)*$H102,"")</f>
        <v>7.8734226558858159E-2</v>
      </c>
      <c r="AP102" s="19">
        <f t="shared" si="51"/>
        <v>2.2330447107499363</v>
      </c>
      <c r="AQ102" s="19">
        <f t="shared" si="41"/>
        <v>0</v>
      </c>
      <c r="AR102" s="19">
        <f t="shared" si="52"/>
        <v>28.781243745371739</v>
      </c>
      <c r="AS102" s="23">
        <f t="shared" si="42"/>
        <v>952.19824374537177</v>
      </c>
    </row>
    <row r="103" spans="5:45">
      <c r="E103" s="35" t="str">
        <f t="shared" si="28"/>
        <v/>
      </c>
      <c r="F103" s="19">
        <f>'Profile data'!A103</f>
        <v>200</v>
      </c>
      <c r="G103" s="19">
        <f>VLOOKUP(F103,'Profile data'!A103:C362,IF($B$22="Botswana 1",2,3))</f>
        <v>923.01099999999997</v>
      </c>
      <c r="H103" s="19">
        <f t="shared" si="53"/>
        <v>2</v>
      </c>
      <c r="I103" s="19">
        <v>1.8</v>
      </c>
      <c r="J103" s="36">
        <f>'Flow Rate Calculations'!$B$7</f>
        <v>4.0831050228310497</v>
      </c>
      <c r="K103" s="36">
        <f t="shared" si="43"/>
        <v>1.6045588828318709</v>
      </c>
      <c r="L103" s="37">
        <f>$I103*$K103/'Calculation Constants'!$B$7</f>
        <v>2555934.503625989</v>
      </c>
      <c r="M103" s="37">
        <f t="shared" si="29"/>
        <v>188.65900000000011</v>
      </c>
      <c r="N103" s="23">
        <f t="shared" si="44"/>
        <v>90.314551884052207</v>
      </c>
      <c r="O103" s="55">
        <f t="shared" si="30"/>
        <v>188.65900000000011</v>
      </c>
      <c r="P103" s="64">
        <f>MAX(I103*1000/'Calculation Constants'!$B$14,O103*10*I103*1000/2/('Calculation Constants'!$B$12*1000*'Calculation Constants'!$B$13))</f>
        <v>11.319540000000007</v>
      </c>
      <c r="Q103" s="66">
        <f t="shared" si="31"/>
        <v>998644.84899855172</v>
      </c>
      <c r="R103" s="27">
        <f>(1/(2*LOG(3.7*$I103/'Calculation Constants'!$B$2*1000)))^2</f>
        <v>8.7463077071963571E-3</v>
      </c>
      <c r="S103" s="19">
        <f t="shared" si="45"/>
        <v>1.2752477269849725</v>
      </c>
      <c r="T103" s="19">
        <f>IF($H103&gt;0,'Calculation Constants'!$B$9*Hydraulics!$K103^2/2/9.81/MAX($F$4:$F$253)*$H103,"")</f>
        <v>7.8734226558858159E-2</v>
      </c>
      <c r="U103" s="19">
        <f t="shared" si="46"/>
        <v>1.3539819535438307</v>
      </c>
      <c r="V103" s="19">
        <f t="shared" si="32"/>
        <v>0</v>
      </c>
      <c r="W103" s="19">
        <f t="shared" si="33"/>
        <v>90.314551884052207</v>
      </c>
      <c r="X103" s="23">
        <f t="shared" si="34"/>
        <v>1013.3255518840522</v>
      </c>
      <c r="Y103" s="22">
        <f>(1/(2*LOG(3.7*$I103/'Calculation Constants'!$B$3*1000)))^2</f>
        <v>9.8211436332891755E-3</v>
      </c>
      <c r="Z103" s="19">
        <f t="shared" si="35"/>
        <v>1.431963236834217</v>
      </c>
      <c r="AA103" s="19">
        <f>IF($H103&gt;0,'Calculation Constants'!$B$9*Hydraulics!$K103^2/2/9.81/MAX($F$4:$F$253)*$H103,"")</f>
        <v>7.8734226558858159E-2</v>
      </c>
      <c r="AB103" s="19">
        <f t="shared" si="54"/>
        <v>1.5106974633930752</v>
      </c>
      <c r="AC103" s="19">
        <f t="shared" si="36"/>
        <v>0</v>
      </c>
      <c r="AD103" s="19">
        <f t="shared" si="47"/>
        <v>79.000575509515215</v>
      </c>
      <c r="AE103" s="23">
        <f t="shared" si="37"/>
        <v>1002.0115755095152</v>
      </c>
      <c r="AF103" s="27">
        <f>(1/(2*LOG(3.7*$I103/'Calculation Constants'!$B$4*1000)))^2</f>
        <v>1.1575055557914658E-2</v>
      </c>
      <c r="AG103" s="19">
        <f t="shared" si="38"/>
        <v>1.6876908272744866</v>
      </c>
      <c r="AH103" s="19">
        <f>IF($H103&gt;0,'Calculation Constants'!$B$9*Hydraulics!$K103^2/2/9.81/MAX($F$4:$F$253)*$H103,"")</f>
        <v>7.8734226558858159E-2</v>
      </c>
      <c r="AI103" s="19">
        <f t="shared" si="48"/>
        <v>1.7664250538333448</v>
      </c>
      <c r="AJ103" s="19">
        <f t="shared" si="39"/>
        <v>0</v>
      </c>
      <c r="AK103" s="19">
        <f t="shared" si="49"/>
        <v>60.551446492970854</v>
      </c>
      <c r="AL103" s="23">
        <f t="shared" si="40"/>
        <v>983.56244649297082</v>
      </c>
      <c r="AM103" s="22">
        <f>(1/(2*LOG(3.7*($I103-0.008)/'Calculation Constants'!$B$5*1000)))^2</f>
        <v>1.4709705891825043E-2</v>
      </c>
      <c r="AN103" s="19">
        <f t="shared" si="50"/>
        <v>2.1543104841910781</v>
      </c>
      <c r="AO103" s="19">
        <f>IF($H103&gt;0,'Calculation Constants'!$B$9*Hydraulics!$K103^2/2/9.81/MAX($F$4:$F$253)*$H103,"")</f>
        <v>7.8734226558858159E-2</v>
      </c>
      <c r="AP103" s="19">
        <f t="shared" si="51"/>
        <v>2.2330447107499363</v>
      </c>
      <c r="AQ103" s="19">
        <f t="shared" si="41"/>
        <v>0</v>
      </c>
      <c r="AR103" s="19">
        <f t="shared" si="52"/>
        <v>26.954199034621865</v>
      </c>
      <c r="AS103" s="23">
        <f t="shared" si="42"/>
        <v>949.96519903462183</v>
      </c>
    </row>
    <row r="104" spans="5:45">
      <c r="E104" s="35" t="str">
        <f t="shared" si="28"/>
        <v/>
      </c>
      <c r="F104" s="19">
        <f>'Profile data'!A104</f>
        <v>202</v>
      </c>
      <c r="G104" s="19">
        <f>VLOOKUP(F104,'Profile data'!A104:C363,IF($B$22="Botswana 1",2,3))</f>
        <v>921.96900000000005</v>
      </c>
      <c r="H104" s="19">
        <f t="shared" si="53"/>
        <v>2</v>
      </c>
      <c r="I104" s="19">
        <v>1.8</v>
      </c>
      <c r="J104" s="36">
        <f>'Flow Rate Calculations'!$B$7</f>
        <v>4.0831050228310497</v>
      </c>
      <c r="K104" s="36">
        <f t="shared" si="43"/>
        <v>1.6045588828318709</v>
      </c>
      <c r="L104" s="37">
        <f>$I104*$K104/'Calculation Constants'!$B$7</f>
        <v>2555934.503625989</v>
      </c>
      <c r="M104" s="37">
        <f t="shared" si="29"/>
        <v>189.70100000000002</v>
      </c>
      <c r="N104" s="23">
        <f t="shared" si="44"/>
        <v>90.002569930508344</v>
      </c>
      <c r="O104" s="55">
        <f t="shared" si="30"/>
        <v>189.70100000000002</v>
      </c>
      <c r="P104" s="64">
        <f>MAX(I104*1000/'Calculation Constants'!$B$14,O104*10*I104*1000/2/('Calculation Constants'!$B$12*1000*'Calculation Constants'!$B$13))</f>
        <v>11.382060000000001</v>
      </c>
      <c r="Q104" s="66">
        <f t="shared" si="31"/>
        <v>1004125.4583117398</v>
      </c>
      <c r="R104" s="27">
        <f>(1/(2*LOG(3.7*$I104/'Calculation Constants'!$B$2*1000)))^2</f>
        <v>8.7463077071963571E-3</v>
      </c>
      <c r="S104" s="19">
        <f t="shared" si="45"/>
        <v>1.2752477269849725</v>
      </c>
      <c r="T104" s="19">
        <f>IF($H104&gt;0,'Calculation Constants'!$B$9*Hydraulics!$K104^2/2/9.81/MAX($F$4:$F$253)*$H104,"")</f>
        <v>7.8734226558858159E-2</v>
      </c>
      <c r="U104" s="19">
        <f t="shared" si="46"/>
        <v>1.3539819535438307</v>
      </c>
      <c r="V104" s="19">
        <f t="shared" si="32"/>
        <v>0</v>
      </c>
      <c r="W104" s="19">
        <f t="shared" si="33"/>
        <v>90.002569930508344</v>
      </c>
      <c r="X104" s="23">
        <f t="shared" si="34"/>
        <v>1011.9715699305084</v>
      </c>
      <c r="Y104" s="22">
        <f>(1/(2*LOG(3.7*$I104/'Calculation Constants'!$B$3*1000)))^2</f>
        <v>9.8211436332891755E-3</v>
      </c>
      <c r="Z104" s="19">
        <f t="shared" si="35"/>
        <v>1.431963236834217</v>
      </c>
      <c r="AA104" s="19">
        <f>IF($H104&gt;0,'Calculation Constants'!$B$9*Hydraulics!$K104^2/2/9.81/MAX($F$4:$F$253)*$H104,"")</f>
        <v>7.8734226558858159E-2</v>
      </c>
      <c r="AB104" s="19">
        <f t="shared" si="54"/>
        <v>1.5106974633930752</v>
      </c>
      <c r="AC104" s="19">
        <f t="shared" si="36"/>
        <v>0</v>
      </c>
      <c r="AD104" s="19">
        <f t="shared" si="47"/>
        <v>78.531878046122074</v>
      </c>
      <c r="AE104" s="23">
        <f t="shared" si="37"/>
        <v>1000.5008780461221</v>
      </c>
      <c r="AF104" s="27">
        <f>(1/(2*LOG(3.7*$I104/'Calculation Constants'!$B$4*1000)))^2</f>
        <v>1.1575055557914658E-2</v>
      </c>
      <c r="AG104" s="19">
        <f t="shared" si="38"/>
        <v>1.6876908272744866</v>
      </c>
      <c r="AH104" s="19">
        <f>IF($H104&gt;0,'Calculation Constants'!$B$9*Hydraulics!$K104^2/2/9.81/MAX($F$4:$F$253)*$H104,"")</f>
        <v>7.8734226558858159E-2</v>
      </c>
      <c r="AI104" s="19">
        <f t="shared" si="48"/>
        <v>1.7664250538333448</v>
      </c>
      <c r="AJ104" s="19">
        <f t="shared" si="39"/>
        <v>0</v>
      </c>
      <c r="AK104" s="19">
        <f t="shared" si="49"/>
        <v>59.827021439137411</v>
      </c>
      <c r="AL104" s="23">
        <f t="shared" si="40"/>
        <v>981.79602143913746</v>
      </c>
      <c r="AM104" s="22">
        <f>(1/(2*LOG(3.7*($I104-0.008)/'Calculation Constants'!$B$5*1000)))^2</f>
        <v>1.4709705891825043E-2</v>
      </c>
      <c r="AN104" s="19">
        <f t="shared" si="50"/>
        <v>2.1543104841910781</v>
      </c>
      <c r="AO104" s="19">
        <f>IF($H104&gt;0,'Calculation Constants'!$B$9*Hydraulics!$K104^2/2/9.81/MAX($F$4:$F$253)*$H104,"")</f>
        <v>7.8734226558858159E-2</v>
      </c>
      <c r="AP104" s="19">
        <f t="shared" si="51"/>
        <v>2.2330447107499363</v>
      </c>
      <c r="AQ104" s="19">
        <f t="shared" si="41"/>
        <v>0</v>
      </c>
      <c r="AR104" s="19">
        <f t="shared" si="52"/>
        <v>25.763154323871845</v>
      </c>
      <c r="AS104" s="23">
        <f t="shared" si="42"/>
        <v>947.7321543238719</v>
      </c>
    </row>
    <row r="105" spans="5:45">
      <c r="E105" s="35" t="str">
        <f t="shared" si="28"/>
        <v/>
      </c>
      <c r="F105" s="19">
        <f>'Profile data'!A105</f>
        <v>204</v>
      </c>
      <c r="G105" s="19">
        <f>VLOOKUP(F105,'Profile data'!A105:C364,IF($B$22="Botswana 1",2,3))</f>
        <v>920.66099999999994</v>
      </c>
      <c r="H105" s="19">
        <f t="shared" si="53"/>
        <v>2</v>
      </c>
      <c r="I105" s="19">
        <v>1.8</v>
      </c>
      <c r="J105" s="36">
        <f>'Flow Rate Calculations'!$B$7</f>
        <v>4.0831050228310497</v>
      </c>
      <c r="K105" s="36">
        <f t="shared" si="43"/>
        <v>1.6045588828318709</v>
      </c>
      <c r="L105" s="37">
        <f>$I105*$K105/'Calculation Constants'!$B$7</f>
        <v>2555934.503625989</v>
      </c>
      <c r="M105" s="37">
        <f t="shared" si="29"/>
        <v>191.00900000000013</v>
      </c>
      <c r="N105" s="23">
        <f t="shared" si="44"/>
        <v>89.95658797696467</v>
      </c>
      <c r="O105" s="55">
        <f t="shared" si="30"/>
        <v>191.00900000000013</v>
      </c>
      <c r="P105" s="64">
        <f>MAX(I105*1000/'Calculation Constants'!$B$14,O105*10*I105*1000/2/('Calculation Constants'!$B$12*1000*'Calculation Constants'!$B$13))</f>
        <v>11.460540000000007</v>
      </c>
      <c r="Q105" s="66">
        <f t="shared" si="31"/>
        <v>1011004.6025207246</v>
      </c>
      <c r="R105" s="27">
        <f>(1/(2*LOG(3.7*$I105/'Calculation Constants'!$B$2*1000)))^2</f>
        <v>8.7463077071963571E-3</v>
      </c>
      <c r="S105" s="19">
        <f t="shared" si="45"/>
        <v>1.2752477269849725</v>
      </c>
      <c r="T105" s="19">
        <f>IF($H105&gt;0,'Calculation Constants'!$B$9*Hydraulics!$K105^2/2/9.81/MAX($F$4:$F$253)*$H105,"")</f>
        <v>7.8734226558858159E-2</v>
      </c>
      <c r="U105" s="19">
        <f t="shared" si="46"/>
        <v>1.3539819535438307</v>
      </c>
      <c r="V105" s="19">
        <f t="shared" si="32"/>
        <v>0</v>
      </c>
      <c r="W105" s="19">
        <f t="shared" si="33"/>
        <v>89.95658797696467</v>
      </c>
      <c r="X105" s="23">
        <f t="shared" si="34"/>
        <v>1010.6175879769646</v>
      </c>
      <c r="Y105" s="22">
        <f>(1/(2*LOG(3.7*$I105/'Calculation Constants'!$B$3*1000)))^2</f>
        <v>9.8211436332891755E-3</v>
      </c>
      <c r="Z105" s="19">
        <f t="shared" si="35"/>
        <v>1.431963236834217</v>
      </c>
      <c r="AA105" s="19">
        <f>IF($H105&gt;0,'Calculation Constants'!$B$9*Hydraulics!$K105^2/2/9.81/MAX($F$4:$F$253)*$H105,"")</f>
        <v>7.8734226558858159E-2</v>
      </c>
      <c r="AB105" s="19">
        <f t="shared" si="54"/>
        <v>1.5106974633930752</v>
      </c>
      <c r="AC105" s="19">
        <f t="shared" si="36"/>
        <v>0</v>
      </c>
      <c r="AD105" s="19">
        <f t="shared" si="47"/>
        <v>78.329180582729123</v>
      </c>
      <c r="AE105" s="23">
        <f t="shared" si="37"/>
        <v>998.99018058272907</v>
      </c>
      <c r="AF105" s="27">
        <f>(1/(2*LOG(3.7*$I105/'Calculation Constants'!$B$4*1000)))^2</f>
        <v>1.1575055557914658E-2</v>
      </c>
      <c r="AG105" s="19">
        <f t="shared" si="38"/>
        <v>1.6876908272744866</v>
      </c>
      <c r="AH105" s="19">
        <f>IF($H105&gt;0,'Calculation Constants'!$B$9*Hydraulics!$K105^2/2/9.81/MAX($F$4:$F$253)*$H105,"")</f>
        <v>7.8734226558858159E-2</v>
      </c>
      <c r="AI105" s="19">
        <f t="shared" si="48"/>
        <v>1.7664250538333448</v>
      </c>
      <c r="AJ105" s="19">
        <f t="shared" si="39"/>
        <v>0</v>
      </c>
      <c r="AK105" s="19">
        <f t="shared" si="49"/>
        <v>59.368596385304159</v>
      </c>
      <c r="AL105" s="23">
        <f t="shared" si="40"/>
        <v>980.0295963853041</v>
      </c>
      <c r="AM105" s="22">
        <f>(1/(2*LOG(3.7*($I105-0.008)/'Calculation Constants'!$B$5*1000)))^2</f>
        <v>1.4709705891825043E-2</v>
      </c>
      <c r="AN105" s="19">
        <f t="shared" si="50"/>
        <v>2.1543104841910781</v>
      </c>
      <c r="AO105" s="19">
        <f>IF($H105&gt;0,'Calculation Constants'!$B$9*Hydraulics!$K105^2/2/9.81/MAX($F$4:$F$253)*$H105,"")</f>
        <v>7.8734226558858159E-2</v>
      </c>
      <c r="AP105" s="19">
        <f t="shared" si="51"/>
        <v>2.2330447107499363</v>
      </c>
      <c r="AQ105" s="19">
        <f t="shared" si="41"/>
        <v>0</v>
      </c>
      <c r="AR105" s="19">
        <f t="shared" si="52"/>
        <v>24.838109613122015</v>
      </c>
      <c r="AS105" s="23">
        <f t="shared" si="42"/>
        <v>945.49910961312196</v>
      </c>
    </row>
    <row r="106" spans="5:45">
      <c r="E106" s="35" t="str">
        <f t="shared" si="28"/>
        <v/>
      </c>
      <c r="F106" s="19">
        <f>'Profile data'!A106</f>
        <v>206</v>
      </c>
      <c r="G106" s="19">
        <f>VLOOKUP(F106,'Profile data'!A106:C365,IF($B$22="Botswana 1",2,3))</f>
        <v>920.24300000000005</v>
      </c>
      <c r="H106" s="19">
        <f t="shared" si="53"/>
        <v>2</v>
      </c>
      <c r="I106" s="19">
        <v>1.8</v>
      </c>
      <c r="J106" s="36">
        <f>'Flow Rate Calculations'!$B$7</f>
        <v>4.0831050228310497</v>
      </c>
      <c r="K106" s="36">
        <f t="shared" si="43"/>
        <v>1.6045588828318709</v>
      </c>
      <c r="L106" s="37">
        <f>$I106*$K106/'Calculation Constants'!$B$7</f>
        <v>2555934.503625989</v>
      </c>
      <c r="M106" s="37">
        <f t="shared" si="29"/>
        <v>191.42700000000002</v>
      </c>
      <c r="N106" s="23">
        <f t="shared" si="44"/>
        <v>89.020606023420783</v>
      </c>
      <c r="O106" s="55">
        <f t="shared" si="30"/>
        <v>191.42700000000002</v>
      </c>
      <c r="P106" s="64">
        <f>MAX(I106*1000/'Calculation Constants'!$B$14,O106*10*I106*1000/2/('Calculation Constants'!$B$12*1000*'Calculation Constants'!$B$13))</f>
        <v>11.485620000000001</v>
      </c>
      <c r="Q106" s="66">
        <f t="shared" si="31"/>
        <v>1013202.8553623573</v>
      </c>
      <c r="R106" s="27">
        <f>(1/(2*LOG(3.7*$I106/'Calculation Constants'!$B$2*1000)))^2</f>
        <v>8.7463077071963571E-3</v>
      </c>
      <c r="S106" s="19">
        <f t="shared" si="45"/>
        <v>1.2752477269849725</v>
      </c>
      <c r="T106" s="19">
        <f>IF($H106&gt;0,'Calculation Constants'!$B$9*Hydraulics!$K106^2/2/9.81/MAX($F$4:$F$253)*$H106,"")</f>
        <v>7.8734226558858159E-2</v>
      </c>
      <c r="U106" s="19">
        <f t="shared" si="46"/>
        <v>1.3539819535438307</v>
      </c>
      <c r="V106" s="19">
        <f t="shared" si="32"/>
        <v>0</v>
      </c>
      <c r="W106" s="19">
        <f t="shared" si="33"/>
        <v>89.020606023420783</v>
      </c>
      <c r="X106" s="23">
        <f t="shared" si="34"/>
        <v>1009.2636060234208</v>
      </c>
      <c r="Y106" s="22">
        <f>(1/(2*LOG(3.7*$I106/'Calculation Constants'!$B$3*1000)))^2</f>
        <v>9.8211436332891755E-3</v>
      </c>
      <c r="Z106" s="19">
        <f t="shared" si="35"/>
        <v>1.431963236834217</v>
      </c>
      <c r="AA106" s="19">
        <f>IF($H106&gt;0,'Calculation Constants'!$B$9*Hydraulics!$K106^2/2/9.81/MAX($F$4:$F$253)*$H106,"")</f>
        <v>7.8734226558858159E-2</v>
      </c>
      <c r="AB106" s="19">
        <f t="shared" si="54"/>
        <v>1.5106974633930752</v>
      </c>
      <c r="AC106" s="19">
        <f t="shared" si="36"/>
        <v>0</v>
      </c>
      <c r="AD106" s="19">
        <f t="shared" si="47"/>
        <v>77.236483119335958</v>
      </c>
      <c r="AE106" s="23">
        <f t="shared" si="37"/>
        <v>997.47948311933601</v>
      </c>
      <c r="AF106" s="27">
        <f>(1/(2*LOG(3.7*$I106/'Calculation Constants'!$B$4*1000)))^2</f>
        <v>1.1575055557914658E-2</v>
      </c>
      <c r="AG106" s="19">
        <f t="shared" si="38"/>
        <v>1.6876908272744866</v>
      </c>
      <c r="AH106" s="19">
        <f>IF($H106&gt;0,'Calculation Constants'!$B$9*Hydraulics!$K106^2/2/9.81/MAX($F$4:$F$253)*$H106,"")</f>
        <v>7.8734226558858159E-2</v>
      </c>
      <c r="AI106" s="19">
        <f t="shared" si="48"/>
        <v>1.7664250538333448</v>
      </c>
      <c r="AJ106" s="19">
        <f t="shared" si="39"/>
        <v>0</v>
      </c>
      <c r="AK106" s="19">
        <f t="shared" si="49"/>
        <v>58.020171331470692</v>
      </c>
      <c r="AL106" s="23">
        <f t="shared" si="40"/>
        <v>978.26317133147074</v>
      </c>
      <c r="AM106" s="22">
        <f>(1/(2*LOG(3.7*($I106-0.008)/'Calculation Constants'!$B$5*1000)))^2</f>
        <v>1.4709705891825043E-2</v>
      </c>
      <c r="AN106" s="19">
        <f t="shared" si="50"/>
        <v>2.1543104841910781</v>
      </c>
      <c r="AO106" s="19">
        <f>IF($H106&gt;0,'Calculation Constants'!$B$9*Hydraulics!$K106^2/2/9.81/MAX($F$4:$F$253)*$H106,"")</f>
        <v>7.8734226558858159E-2</v>
      </c>
      <c r="AP106" s="19">
        <f t="shared" si="51"/>
        <v>2.2330447107499363</v>
      </c>
      <c r="AQ106" s="19">
        <f t="shared" si="41"/>
        <v>0</v>
      </c>
      <c r="AR106" s="19">
        <f t="shared" si="52"/>
        <v>23.023064902371971</v>
      </c>
      <c r="AS106" s="23">
        <f t="shared" si="42"/>
        <v>943.26606490237202</v>
      </c>
    </row>
    <row r="107" spans="5:45">
      <c r="E107" s="35" t="str">
        <f t="shared" si="28"/>
        <v/>
      </c>
      <c r="F107" s="19">
        <f>'Profile data'!A107</f>
        <v>208</v>
      </c>
      <c r="G107" s="19">
        <f>VLOOKUP(F107,'Profile data'!A107:C366,IF($B$22="Botswana 1",2,3))</f>
        <v>919.29700000000003</v>
      </c>
      <c r="H107" s="19">
        <f t="shared" si="53"/>
        <v>2</v>
      </c>
      <c r="I107" s="19">
        <v>1.8</v>
      </c>
      <c r="J107" s="36">
        <f>'Flow Rate Calculations'!$B$7</f>
        <v>4.0831050228310497</v>
      </c>
      <c r="K107" s="36">
        <f t="shared" si="43"/>
        <v>1.6045588828318709</v>
      </c>
      <c r="L107" s="37">
        <f>$I107*$K107/'Calculation Constants'!$B$7</f>
        <v>2555934.503625989</v>
      </c>
      <c r="M107" s="37">
        <f t="shared" si="29"/>
        <v>192.37300000000005</v>
      </c>
      <c r="N107" s="23">
        <f t="shared" si="44"/>
        <v>88.612624069877029</v>
      </c>
      <c r="O107" s="55">
        <f t="shared" si="30"/>
        <v>192.37300000000005</v>
      </c>
      <c r="P107" s="64">
        <f>MAX(I107*1000/'Calculation Constants'!$B$14,O107*10*I107*1000/2/('Calculation Constants'!$B$12*1000*'Calculation Constants'!$B$13))</f>
        <v>11.542380000000003</v>
      </c>
      <c r="Q107" s="66">
        <f t="shared" si="31"/>
        <v>1018177.6195184148</v>
      </c>
      <c r="R107" s="27">
        <f>(1/(2*LOG(3.7*$I107/'Calculation Constants'!$B$2*1000)))^2</f>
        <v>8.7463077071963571E-3</v>
      </c>
      <c r="S107" s="19">
        <f t="shared" si="45"/>
        <v>1.2752477269849725</v>
      </c>
      <c r="T107" s="19">
        <f>IF($H107&gt;0,'Calculation Constants'!$B$9*Hydraulics!$K107^2/2/9.81/MAX($F$4:$F$253)*$H107,"")</f>
        <v>7.8734226558858159E-2</v>
      </c>
      <c r="U107" s="19">
        <f t="shared" si="46"/>
        <v>1.3539819535438307</v>
      </c>
      <c r="V107" s="19">
        <f t="shared" si="32"/>
        <v>0</v>
      </c>
      <c r="W107" s="19">
        <f t="shared" si="33"/>
        <v>88.612624069877029</v>
      </c>
      <c r="X107" s="23">
        <f t="shared" si="34"/>
        <v>1007.9096240698771</v>
      </c>
      <c r="Y107" s="22">
        <f>(1/(2*LOG(3.7*$I107/'Calculation Constants'!$B$3*1000)))^2</f>
        <v>9.8211436332891755E-3</v>
      </c>
      <c r="Z107" s="19">
        <f t="shared" si="35"/>
        <v>1.431963236834217</v>
      </c>
      <c r="AA107" s="19">
        <f>IF($H107&gt;0,'Calculation Constants'!$B$9*Hydraulics!$K107^2/2/9.81/MAX($F$4:$F$253)*$H107,"")</f>
        <v>7.8734226558858159E-2</v>
      </c>
      <c r="AB107" s="19">
        <f t="shared" si="54"/>
        <v>1.5106974633930752</v>
      </c>
      <c r="AC107" s="19">
        <f t="shared" si="36"/>
        <v>0</v>
      </c>
      <c r="AD107" s="19">
        <f t="shared" si="47"/>
        <v>76.671785655942926</v>
      </c>
      <c r="AE107" s="23">
        <f t="shared" si="37"/>
        <v>995.96878565594295</v>
      </c>
      <c r="AF107" s="27">
        <f>(1/(2*LOG(3.7*$I107/'Calculation Constants'!$B$4*1000)))^2</f>
        <v>1.1575055557914658E-2</v>
      </c>
      <c r="AG107" s="19">
        <f t="shared" si="38"/>
        <v>1.6876908272744866</v>
      </c>
      <c r="AH107" s="19">
        <f>IF($H107&gt;0,'Calculation Constants'!$B$9*Hydraulics!$K107^2/2/9.81/MAX($F$4:$F$253)*$H107,"")</f>
        <v>7.8734226558858159E-2</v>
      </c>
      <c r="AI107" s="19">
        <f t="shared" si="48"/>
        <v>1.7664250538333448</v>
      </c>
      <c r="AJ107" s="19">
        <f t="shared" si="39"/>
        <v>0</v>
      </c>
      <c r="AK107" s="19">
        <f t="shared" si="49"/>
        <v>57.19974627763736</v>
      </c>
      <c r="AL107" s="23">
        <f t="shared" si="40"/>
        <v>976.49674627763738</v>
      </c>
      <c r="AM107" s="22">
        <f>(1/(2*LOG(3.7*($I107-0.008)/'Calculation Constants'!$B$5*1000)))^2</f>
        <v>1.4709705891825043E-2</v>
      </c>
      <c r="AN107" s="19">
        <f t="shared" si="50"/>
        <v>2.1543104841910781</v>
      </c>
      <c r="AO107" s="19">
        <f>IF($H107&gt;0,'Calculation Constants'!$B$9*Hydraulics!$K107^2/2/9.81/MAX($F$4:$F$253)*$H107,"")</f>
        <v>7.8734226558858159E-2</v>
      </c>
      <c r="AP107" s="19">
        <f t="shared" si="51"/>
        <v>2.2330447107499363</v>
      </c>
      <c r="AQ107" s="19">
        <f t="shared" si="41"/>
        <v>0</v>
      </c>
      <c r="AR107" s="19">
        <f t="shared" si="52"/>
        <v>21.73602019162206</v>
      </c>
      <c r="AS107" s="23">
        <f t="shared" si="42"/>
        <v>941.03302019162209</v>
      </c>
    </row>
    <row r="108" spans="5:45">
      <c r="E108" s="35" t="str">
        <f t="shared" si="28"/>
        <v/>
      </c>
      <c r="F108" s="19">
        <f>'Profile data'!A108</f>
        <v>210</v>
      </c>
      <c r="G108" s="19">
        <f>VLOOKUP(F108,'Profile data'!A108:C367,IF($B$22="Botswana 1",2,3))</f>
        <v>917.53300000000002</v>
      </c>
      <c r="H108" s="19">
        <f t="shared" si="53"/>
        <v>2</v>
      </c>
      <c r="I108" s="19">
        <v>1.8</v>
      </c>
      <c r="J108" s="36">
        <f>'Flow Rate Calculations'!$B$7</f>
        <v>4.0831050228310497</v>
      </c>
      <c r="K108" s="36">
        <f t="shared" si="43"/>
        <v>1.6045588828318709</v>
      </c>
      <c r="L108" s="37">
        <f>$I108*$K108/'Calculation Constants'!$B$7</f>
        <v>2555934.503625989</v>
      </c>
      <c r="M108" s="37">
        <f t="shared" si="29"/>
        <v>194.13700000000006</v>
      </c>
      <c r="N108" s="23">
        <f t="shared" si="44"/>
        <v>89.022642116333259</v>
      </c>
      <c r="O108" s="55">
        <f t="shared" si="30"/>
        <v>194.13700000000006</v>
      </c>
      <c r="P108" s="64">
        <f>MAX(I108*1000/'Calculation Constants'!$B$14,O108*10*I108*1000/2/('Calculation Constants'!$B$12*1000*'Calculation Constants'!$B$13))</f>
        <v>11.648220000000004</v>
      </c>
      <c r="Q108" s="66">
        <f t="shared" si="31"/>
        <v>1027453.18080765</v>
      </c>
      <c r="R108" s="27">
        <f>(1/(2*LOG(3.7*$I108/'Calculation Constants'!$B$2*1000)))^2</f>
        <v>8.7463077071963571E-3</v>
      </c>
      <c r="S108" s="19">
        <f t="shared" si="45"/>
        <v>1.2752477269849725</v>
      </c>
      <c r="T108" s="19">
        <f>IF($H108&gt;0,'Calculation Constants'!$B$9*Hydraulics!$K108^2/2/9.81/MAX($F$4:$F$253)*$H108,"")</f>
        <v>7.8734226558858159E-2</v>
      </c>
      <c r="U108" s="19">
        <f t="shared" si="46"/>
        <v>1.3539819535438307</v>
      </c>
      <c r="V108" s="19">
        <f t="shared" si="32"/>
        <v>0</v>
      </c>
      <c r="W108" s="19">
        <f t="shared" si="33"/>
        <v>89.022642116333259</v>
      </c>
      <c r="X108" s="23">
        <f t="shared" si="34"/>
        <v>1006.5556421163333</v>
      </c>
      <c r="Y108" s="22">
        <f>(1/(2*LOG(3.7*$I108/'Calculation Constants'!$B$3*1000)))^2</f>
        <v>9.8211436332891755E-3</v>
      </c>
      <c r="Z108" s="19">
        <f t="shared" si="35"/>
        <v>1.431963236834217</v>
      </c>
      <c r="AA108" s="19">
        <f>IF($H108&gt;0,'Calculation Constants'!$B$9*Hydraulics!$K108^2/2/9.81/MAX($F$4:$F$253)*$H108,"")</f>
        <v>7.8734226558858159E-2</v>
      </c>
      <c r="AB108" s="19">
        <f t="shared" si="54"/>
        <v>1.5106974633930752</v>
      </c>
      <c r="AC108" s="19">
        <f t="shared" si="36"/>
        <v>0</v>
      </c>
      <c r="AD108" s="19">
        <f t="shared" si="47"/>
        <v>76.925088192549879</v>
      </c>
      <c r="AE108" s="23">
        <f t="shared" si="37"/>
        <v>994.45808819254989</v>
      </c>
      <c r="AF108" s="27">
        <f>(1/(2*LOG(3.7*$I108/'Calculation Constants'!$B$4*1000)))^2</f>
        <v>1.1575055557914658E-2</v>
      </c>
      <c r="AG108" s="19">
        <f t="shared" si="38"/>
        <v>1.6876908272744866</v>
      </c>
      <c r="AH108" s="19">
        <f>IF($H108&gt;0,'Calculation Constants'!$B$9*Hydraulics!$K108^2/2/9.81/MAX($F$4:$F$253)*$H108,"")</f>
        <v>7.8734226558858159E-2</v>
      </c>
      <c r="AI108" s="19">
        <f t="shared" si="48"/>
        <v>1.7664250538333448</v>
      </c>
      <c r="AJ108" s="19">
        <f t="shared" si="39"/>
        <v>0</v>
      </c>
      <c r="AK108" s="19">
        <f t="shared" si="49"/>
        <v>57.197321223804011</v>
      </c>
      <c r="AL108" s="23">
        <f t="shared" si="40"/>
        <v>974.73032122380403</v>
      </c>
      <c r="AM108" s="22">
        <f>(1/(2*LOG(3.7*($I108-0.008)/'Calculation Constants'!$B$5*1000)))^2</f>
        <v>1.4709705891825043E-2</v>
      </c>
      <c r="AN108" s="19">
        <f t="shared" si="50"/>
        <v>2.1543104841910781</v>
      </c>
      <c r="AO108" s="19">
        <f>IF($H108&gt;0,'Calculation Constants'!$B$9*Hydraulics!$K108^2/2/9.81/MAX($F$4:$F$253)*$H108,"")</f>
        <v>7.8734226558858159E-2</v>
      </c>
      <c r="AP108" s="19">
        <f t="shared" si="51"/>
        <v>2.2330447107499363</v>
      </c>
      <c r="AQ108" s="19">
        <f t="shared" si="41"/>
        <v>0</v>
      </c>
      <c r="AR108" s="19">
        <f t="shared" si="52"/>
        <v>21.266975480872134</v>
      </c>
      <c r="AS108" s="23">
        <f t="shared" si="42"/>
        <v>938.79997548087215</v>
      </c>
    </row>
    <row r="109" spans="5:45">
      <c r="E109" s="35" t="str">
        <f t="shared" si="28"/>
        <v/>
      </c>
      <c r="F109" s="19">
        <f>'Profile data'!A109</f>
        <v>212</v>
      </c>
      <c r="G109" s="19">
        <f>VLOOKUP(F109,'Profile data'!A109:C368,IF($B$22="Botswana 1",2,3))</f>
        <v>917.68399999999997</v>
      </c>
      <c r="H109" s="19">
        <f t="shared" si="53"/>
        <v>2</v>
      </c>
      <c r="I109" s="19">
        <v>1.8</v>
      </c>
      <c r="J109" s="36">
        <f>'Flow Rate Calculations'!$B$7</f>
        <v>4.0831050228310497</v>
      </c>
      <c r="K109" s="36">
        <f t="shared" si="43"/>
        <v>1.6045588828318709</v>
      </c>
      <c r="L109" s="37">
        <f>$I109*$K109/'Calculation Constants'!$B$7</f>
        <v>2555934.503625989</v>
      </c>
      <c r="M109" s="37">
        <f t="shared" si="29"/>
        <v>193.9860000000001</v>
      </c>
      <c r="N109" s="23">
        <f t="shared" si="44"/>
        <v>87.517660162789525</v>
      </c>
      <c r="O109" s="55">
        <f t="shared" si="30"/>
        <v>193.9860000000001</v>
      </c>
      <c r="P109" s="64">
        <f>MAX(I109*1000/'Calculation Constants'!$B$14,O109*10*I109*1000/2/('Calculation Constants'!$B$12*1000*'Calculation Constants'!$B$13))</f>
        <v>11.639160000000006</v>
      </c>
      <c r="Q109" s="66">
        <f t="shared" si="31"/>
        <v>1026659.2275958136</v>
      </c>
      <c r="R109" s="27">
        <f>(1/(2*LOG(3.7*$I109/'Calculation Constants'!$B$2*1000)))^2</f>
        <v>8.7463077071963571E-3</v>
      </c>
      <c r="S109" s="19">
        <f t="shared" si="45"/>
        <v>1.2752477269849725</v>
      </c>
      <c r="T109" s="19">
        <f>IF($H109&gt;0,'Calculation Constants'!$B$9*Hydraulics!$K109^2/2/9.81/MAX($F$4:$F$253)*$H109,"")</f>
        <v>7.8734226558858159E-2</v>
      </c>
      <c r="U109" s="19">
        <f t="shared" si="46"/>
        <v>1.3539819535438307</v>
      </c>
      <c r="V109" s="19">
        <f t="shared" si="32"/>
        <v>0</v>
      </c>
      <c r="W109" s="19">
        <f t="shared" si="33"/>
        <v>87.517660162789525</v>
      </c>
      <c r="X109" s="23">
        <f t="shared" si="34"/>
        <v>1005.2016601627895</v>
      </c>
      <c r="Y109" s="22">
        <f>(1/(2*LOG(3.7*$I109/'Calculation Constants'!$B$3*1000)))^2</f>
        <v>9.8211436332891755E-3</v>
      </c>
      <c r="Z109" s="19">
        <f t="shared" si="35"/>
        <v>1.431963236834217</v>
      </c>
      <c r="AA109" s="19">
        <f>IF($H109&gt;0,'Calculation Constants'!$B$9*Hydraulics!$K109^2/2/9.81/MAX($F$4:$F$253)*$H109,"")</f>
        <v>7.8734226558858159E-2</v>
      </c>
      <c r="AB109" s="19">
        <f t="shared" si="54"/>
        <v>1.5106974633930752</v>
      </c>
      <c r="AC109" s="19">
        <f t="shared" si="36"/>
        <v>0</v>
      </c>
      <c r="AD109" s="19">
        <f t="shared" si="47"/>
        <v>75.263390729156868</v>
      </c>
      <c r="AE109" s="23">
        <f t="shared" si="37"/>
        <v>992.94739072915684</v>
      </c>
      <c r="AF109" s="27">
        <f>(1/(2*LOG(3.7*$I109/'Calculation Constants'!$B$4*1000)))^2</f>
        <v>1.1575055557914658E-2</v>
      </c>
      <c r="AG109" s="19">
        <f t="shared" si="38"/>
        <v>1.6876908272744866</v>
      </c>
      <c r="AH109" s="19">
        <f>IF($H109&gt;0,'Calculation Constants'!$B$9*Hydraulics!$K109^2/2/9.81/MAX($F$4:$F$253)*$H109,"")</f>
        <v>7.8734226558858159E-2</v>
      </c>
      <c r="AI109" s="19">
        <f t="shared" si="48"/>
        <v>1.7664250538333448</v>
      </c>
      <c r="AJ109" s="19">
        <f t="shared" si="39"/>
        <v>0</v>
      </c>
      <c r="AK109" s="19">
        <f t="shared" si="49"/>
        <v>55.279896169970698</v>
      </c>
      <c r="AL109" s="23">
        <f t="shared" si="40"/>
        <v>972.96389616997067</v>
      </c>
      <c r="AM109" s="22">
        <f>(1/(2*LOG(3.7*($I109-0.008)/'Calculation Constants'!$B$5*1000)))^2</f>
        <v>1.4709705891825043E-2</v>
      </c>
      <c r="AN109" s="19">
        <f t="shared" si="50"/>
        <v>2.1543104841910781</v>
      </c>
      <c r="AO109" s="19">
        <f>IF($H109&gt;0,'Calculation Constants'!$B$9*Hydraulics!$K109^2/2/9.81/MAX($F$4:$F$253)*$H109,"")</f>
        <v>7.8734226558858159E-2</v>
      </c>
      <c r="AP109" s="19">
        <f t="shared" si="51"/>
        <v>2.2330447107499363</v>
      </c>
      <c r="AQ109" s="19">
        <f t="shared" si="41"/>
        <v>0</v>
      </c>
      <c r="AR109" s="19">
        <f t="shared" si="52"/>
        <v>18.882930770122243</v>
      </c>
      <c r="AS109" s="23">
        <f t="shared" si="42"/>
        <v>936.56693077012221</v>
      </c>
    </row>
    <row r="110" spans="5:45">
      <c r="E110" s="35" t="str">
        <f t="shared" si="28"/>
        <v/>
      </c>
      <c r="F110" s="19">
        <f>'Profile data'!A110</f>
        <v>214</v>
      </c>
      <c r="G110" s="19">
        <f>VLOOKUP(F110,'Profile data'!A110:C369,IF($B$22="Botswana 1",2,3))</f>
        <v>915.72400000000005</v>
      </c>
      <c r="H110" s="19">
        <f t="shared" si="53"/>
        <v>2</v>
      </c>
      <c r="I110" s="19">
        <v>1.8</v>
      </c>
      <c r="J110" s="36">
        <f>'Flow Rate Calculations'!$B$7</f>
        <v>4.0831050228310497</v>
      </c>
      <c r="K110" s="36">
        <f t="shared" si="43"/>
        <v>1.6045588828318709</v>
      </c>
      <c r="L110" s="37">
        <f>$I110*$K110/'Calculation Constants'!$B$7</f>
        <v>2555934.503625989</v>
      </c>
      <c r="M110" s="37">
        <f t="shared" si="29"/>
        <v>195.94600000000003</v>
      </c>
      <c r="N110" s="23">
        <f t="shared" si="44"/>
        <v>88.123678209245668</v>
      </c>
      <c r="O110" s="55">
        <f t="shared" si="30"/>
        <v>195.94600000000003</v>
      </c>
      <c r="P110" s="64">
        <f>MAX(I110*1000/'Calculation Constants'!$B$14,O110*10*I110*1000/2/('Calculation Constants'!$B$12*1000*'Calculation Constants'!$B$13))</f>
        <v>11.756760000000003</v>
      </c>
      <c r="Q110" s="66">
        <f t="shared" si="31"/>
        <v>1036964.2158709641</v>
      </c>
      <c r="R110" s="27">
        <f>(1/(2*LOG(3.7*$I110/'Calculation Constants'!$B$2*1000)))^2</f>
        <v>8.7463077071963571E-3</v>
      </c>
      <c r="S110" s="19">
        <f t="shared" si="45"/>
        <v>1.2752477269849725</v>
      </c>
      <c r="T110" s="19">
        <f>IF($H110&gt;0,'Calculation Constants'!$B$9*Hydraulics!$K110^2/2/9.81/MAX($F$4:$F$253)*$H110,"")</f>
        <v>7.8734226558858159E-2</v>
      </c>
      <c r="U110" s="19">
        <f t="shared" si="46"/>
        <v>1.3539819535438307</v>
      </c>
      <c r="V110" s="19">
        <f t="shared" si="32"/>
        <v>0</v>
      </c>
      <c r="W110" s="19">
        <f t="shared" si="33"/>
        <v>88.123678209245668</v>
      </c>
      <c r="X110" s="23">
        <f t="shared" si="34"/>
        <v>1003.8476782092457</v>
      </c>
      <c r="Y110" s="22">
        <f>(1/(2*LOG(3.7*$I110/'Calculation Constants'!$B$3*1000)))^2</f>
        <v>9.8211436332891755E-3</v>
      </c>
      <c r="Z110" s="19">
        <f t="shared" si="35"/>
        <v>1.431963236834217</v>
      </c>
      <c r="AA110" s="19">
        <f>IF($H110&gt;0,'Calculation Constants'!$B$9*Hydraulics!$K110^2/2/9.81/MAX($F$4:$F$253)*$H110,"")</f>
        <v>7.8734226558858159E-2</v>
      </c>
      <c r="AB110" s="19">
        <f t="shared" si="54"/>
        <v>1.5106974633930752</v>
      </c>
      <c r="AC110" s="19">
        <f t="shared" si="36"/>
        <v>0</v>
      </c>
      <c r="AD110" s="19">
        <f t="shared" si="47"/>
        <v>75.712693265763733</v>
      </c>
      <c r="AE110" s="23">
        <f t="shared" si="37"/>
        <v>991.43669326576378</v>
      </c>
      <c r="AF110" s="27">
        <f>(1/(2*LOG(3.7*$I110/'Calculation Constants'!$B$4*1000)))^2</f>
        <v>1.1575055557914658E-2</v>
      </c>
      <c r="AG110" s="19">
        <f t="shared" si="38"/>
        <v>1.6876908272744866</v>
      </c>
      <c r="AH110" s="19">
        <f>IF($H110&gt;0,'Calculation Constants'!$B$9*Hydraulics!$K110^2/2/9.81/MAX($F$4:$F$253)*$H110,"")</f>
        <v>7.8734226558858159E-2</v>
      </c>
      <c r="AI110" s="19">
        <f t="shared" si="48"/>
        <v>1.7664250538333448</v>
      </c>
      <c r="AJ110" s="19">
        <f t="shared" si="39"/>
        <v>0</v>
      </c>
      <c r="AK110" s="19">
        <f t="shared" si="49"/>
        <v>55.473471116137262</v>
      </c>
      <c r="AL110" s="23">
        <f t="shared" si="40"/>
        <v>971.19747111613731</v>
      </c>
      <c r="AM110" s="22">
        <f>(1/(2*LOG(3.7*($I110-0.008)/'Calculation Constants'!$B$5*1000)))^2</f>
        <v>1.4709705891825043E-2</v>
      </c>
      <c r="AN110" s="19">
        <f t="shared" si="50"/>
        <v>2.1543104841910781</v>
      </c>
      <c r="AO110" s="19">
        <f>IF($H110&gt;0,'Calculation Constants'!$B$9*Hydraulics!$K110^2/2/9.81/MAX($F$4:$F$253)*$H110,"")</f>
        <v>7.8734226558858159E-2</v>
      </c>
      <c r="AP110" s="19">
        <f t="shared" si="51"/>
        <v>2.2330447107499363</v>
      </c>
      <c r="AQ110" s="19">
        <f t="shared" si="41"/>
        <v>0</v>
      </c>
      <c r="AR110" s="19">
        <f t="shared" si="52"/>
        <v>18.609886059372229</v>
      </c>
      <c r="AS110" s="23">
        <f t="shared" si="42"/>
        <v>934.33388605937228</v>
      </c>
    </row>
    <row r="111" spans="5:45">
      <c r="E111" s="35" t="str">
        <f t="shared" si="28"/>
        <v/>
      </c>
      <c r="F111" s="19">
        <f>'Profile data'!A111</f>
        <v>216</v>
      </c>
      <c r="G111" s="19">
        <f>VLOOKUP(F111,'Profile data'!A111:C370,IF($B$22="Botswana 1",2,3))</f>
        <v>915.73</v>
      </c>
      <c r="H111" s="19">
        <f t="shared" si="53"/>
        <v>2</v>
      </c>
      <c r="I111" s="19">
        <v>1.8</v>
      </c>
      <c r="J111" s="36">
        <f>'Flow Rate Calculations'!$B$7</f>
        <v>4.0831050228310497</v>
      </c>
      <c r="K111" s="36">
        <f t="shared" si="43"/>
        <v>1.6045588828318709</v>
      </c>
      <c r="L111" s="37">
        <f>$I111*$K111/'Calculation Constants'!$B$7</f>
        <v>2555934.503625989</v>
      </c>
      <c r="M111" s="37">
        <f t="shared" si="29"/>
        <v>195.94000000000005</v>
      </c>
      <c r="N111" s="23">
        <f t="shared" si="44"/>
        <v>86.763696255701916</v>
      </c>
      <c r="O111" s="55">
        <f t="shared" si="30"/>
        <v>195.94000000000005</v>
      </c>
      <c r="P111" s="64">
        <f>MAX(I111*1000/'Calculation Constants'!$B$14,O111*10*I111*1000/2/('Calculation Constants'!$B$12*1000*'Calculation Constants'!$B$13))</f>
        <v>11.756400000000003</v>
      </c>
      <c r="Q111" s="66">
        <f t="shared" si="31"/>
        <v>1036932.672070229</v>
      </c>
      <c r="R111" s="27">
        <f>(1/(2*LOG(3.7*$I111/'Calculation Constants'!$B$2*1000)))^2</f>
        <v>8.7463077071963571E-3</v>
      </c>
      <c r="S111" s="19">
        <f t="shared" si="45"/>
        <v>1.2752477269849725</v>
      </c>
      <c r="T111" s="19">
        <f>IF($H111&gt;0,'Calculation Constants'!$B$9*Hydraulics!$K111^2/2/9.81/MAX($F$4:$F$253)*$H111,"")</f>
        <v>7.8734226558858159E-2</v>
      </c>
      <c r="U111" s="19">
        <f t="shared" si="46"/>
        <v>1.3539819535438307</v>
      </c>
      <c r="V111" s="19">
        <f t="shared" si="32"/>
        <v>0</v>
      </c>
      <c r="W111" s="19">
        <f t="shared" si="33"/>
        <v>86.763696255701916</v>
      </c>
      <c r="X111" s="23">
        <f t="shared" si="34"/>
        <v>1002.4936962557019</v>
      </c>
      <c r="Y111" s="22">
        <f>(1/(2*LOG(3.7*$I111/'Calculation Constants'!$B$3*1000)))^2</f>
        <v>9.8211436332891755E-3</v>
      </c>
      <c r="Z111" s="19">
        <f t="shared" si="35"/>
        <v>1.431963236834217</v>
      </c>
      <c r="AA111" s="19">
        <f>IF($H111&gt;0,'Calculation Constants'!$B$9*Hydraulics!$K111^2/2/9.81/MAX($F$4:$F$253)*$H111,"")</f>
        <v>7.8734226558858159E-2</v>
      </c>
      <c r="AB111" s="19">
        <f t="shared" si="54"/>
        <v>1.5106974633930752</v>
      </c>
      <c r="AC111" s="19">
        <f t="shared" si="36"/>
        <v>0</v>
      </c>
      <c r="AD111" s="19">
        <f t="shared" si="47"/>
        <v>74.195995802370703</v>
      </c>
      <c r="AE111" s="23">
        <f t="shared" si="37"/>
        <v>989.92599580237072</v>
      </c>
      <c r="AF111" s="27">
        <f>(1/(2*LOG(3.7*$I111/'Calculation Constants'!$B$4*1000)))^2</f>
        <v>1.1575055557914658E-2</v>
      </c>
      <c r="AG111" s="19">
        <f t="shared" si="38"/>
        <v>1.6876908272744866</v>
      </c>
      <c r="AH111" s="19">
        <f>IF($H111&gt;0,'Calculation Constants'!$B$9*Hydraulics!$K111^2/2/9.81/MAX($F$4:$F$253)*$H111,"")</f>
        <v>7.8734226558858159E-2</v>
      </c>
      <c r="AI111" s="19">
        <f t="shared" si="48"/>
        <v>1.7664250538333448</v>
      </c>
      <c r="AJ111" s="19">
        <f t="shared" si="39"/>
        <v>0</v>
      </c>
      <c r="AK111" s="19">
        <f t="shared" si="49"/>
        <v>53.701046062303931</v>
      </c>
      <c r="AL111" s="23">
        <f t="shared" si="40"/>
        <v>969.43104606230395</v>
      </c>
      <c r="AM111" s="22">
        <f>(1/(2*LOG(3.7*($I111-0.008)/'Calculation Constants'!$B$5*1000)))^2</f>
        <v>1.4709705891825043E-2</v>
      </c>
      <c r="AN111" s="19">
        <f t="shared" si="50"/>
        <v>2.1543104841910781</v>
      </c>
      <c r="AO111" s="19">
        <f>IF($H111&gt;0,'Calculation Constants'!$B$9*Hydraulics!$K111^2/2/9.81/MAX($F$4:$F$253)*$H111,"")</f>
        <v>7.8734226558858159E-2</v>
      </c>
      <c r="AP111" s="19">
        <f t="shared" si="51"/>
        <v>2.2330447107499363</v>
      </c>
      <c r="AQ111" s="19">
        <f t="shared" si="41"/>
        <v>0</v>
      </c>
      <c r="AR111" s="19">
        <f t="shared" si="52"/>
        <v>16.370841348622321</v>
      </c>
      <c r="AS111" s="23">
        <f t="shared" si="42"/>
        <v>932.10084134862234</v>
      </c>
    </row>
    <row r="112" spans="5:45">
      <c r="E112" s="35" t="str">
        <f t="shared" si="28"/>
        <v/>
      </c>
      <c r="F112" s="19">
        <f>'Profile data'!A112</f>
        <v>218</v>
      </c>
      <c r="G112" s="19">
        <f>VLOOKUP(F112,'Profile data'!A112:C371,IF($B$22="Botswana 1",2,3))</f>
        <v>915.58399999999995</v>
      </c>
      <c r="H112" s="19">
        <f t="shared" si="53"/>
        <v>2</v>
      </c>
      <c r="I112" s="19">
        <v>1.8</v>
      </c>
      <c r="J112" s="36">
        <f>'Flow Rate Calculations'!$B$7</f>
        <v>4.0831050228310497</v>
      </c>
      <c r="K112" s="36">
        <f t="shared" si="43"/>
        <v>1.6045588828318709</v>
      </c>
      <c r="L112" s="37">
        <f>$I112*$K112/'Calculation Constants'!$B$7</f>
        <v>2555934.503625989</v>
      </c>
      <c r="M112" s="37">
        <f t="shared" si="29"/>
        <v>196.08600000000013</v>
      </c>
      <c r="N112" s="23">
        <f t="shared" si="44"/>
        <v>85.555714302158208</v>
      </c>
      <c r="O112" s="55">
        <f t="shared" si="30"/>
        <v>196.08600000000013</v>
      </c>
      <c r="P112" s="64">
        <f>MAX(I112*1000/'Calculation Constants'!$B$14,O112*10*I112*1000/2/('Calculation Constants'!$B$12*1000*'Calculation Constants'!$B$13))</f>
        <v>11.765160000000007</v>
      </c>
      <c r="Q112" s="66">
        <f t="shared" si="31"/>
        <v>1037700.2342585765</v>
      </c>
      <c r="R112" s="27">
        <f>(1/(2*LOG(3.7*$I112/'Calculation Constants'!$B$2*1000)))^2</f>
        <v>8.7463077071963571E-3</v>
      </c>
      <c r="S112" s="19">
        <f t="shared" si="45"/>
        <v>1.2752477269849725</v>
      </c>
      <c r="T112" s="19">
        <f>IF($H112&gt;0,'Calculation Constants'!$B$9*Hydraulics!$K112^2/2/9.81/MAX($F$4:$F$253)*$H112,"")</f>
        <v>7.8734226558858159E-2</v>
      </c>
      <c r="U112" s="19">
        <f t="shared" si="46"/>
        <v>1.3539819535438307</v>
      </c>
      <c r="V112" s="19">
        <f t="shared" si="32"/>
        <v>0</v>
      </c>
      <c r="W112" s="19">
        <f t="shared" si="33"/>
        <v>85.555714302158208</v>
      </c>
      <c r="X112" s="23">
        <f t="shared" si="34"/>
        <v>1001.1397143021582</v>
      </c>
      <c r="Y112" s="22">
        <f>(1/(2*LOG(3.7*$I112/'Calculation Constants'!$B$3*1000)))^2</f>
        <v>9.8211436332891755E-3</v>
      </c>
      <c r="Z112" s="19">
        <f t="shared" si="35"/>
        <v>1.431963236834217</v>
      </c>
      <c r="AA112" s="19">
        <f>IF($H112&gt;0,'Calculation Constants'!$B$9*Hydraulics!$K112^2/2/9.81/MAX($F$4:$F$253)*$H112,"")</f>
        <v>7.8734226558858159E-2</v>
      </c>
      <c r="AB112" s="19">
        <f t="shared" si="54"/>
        <v>1.5106974633930752</v>
      </c>
      <c r="AC112" s="19">
        <f t="shared" si="36"/>
        <v>0</v>
      </c>
      <c r="AD112" s="19">
        <f t="shared" si="47"/>
        <v>72.831298338977717</v>
      </c>
      <c r="AE112" s="23">
        <f t="shared" si="37"/>
        <v>988.41529833897766</v>
      </c>
      <c r="AF112" s="27">
        <f>(1/(2*LOG(3.7*$I112/'Calculation Constants'!$B$4*1000)))^2</f>
        <v>1.1575055557914658E-2</v>
      </c>
      <c r="AG112" s="19">
        <f t="shared" si="38"/>
        <v>1.6876908272744866</v>
      </c>
      <c r="AH112" s="19">
        <f>IF($H112&gt;0,'Calculation Constants'!$B$9*Hydraulics!$K112^2/2/9.81/MAX($F$4:$F$253)*$H112,"")</f>
        <v>7.8734226558858159E-2</v>
      </c>
      <c r="AI112" s="19">
        <f t="shared" si="48"/>
        <v>1.7664250538333448</v>
      </c>
      <c r="AJ112" s="19">
        <f t="shared" si="39"/>
        <v>0</v>
      </c>
      <c r="AK112" s="19">
        <f t="shared" si="49"/>
        <v>52.080621008470644</v>
      </c>
      <c r="AL112" s="23">
        <f t="shared" si="40"/>
        <v>967.66462100847059</v>
      </c>
      <c r="AM112" s="22">
        <f>(1/(2*LOG(3.7*($I112-0.008)/'Calculation Constants'!$B$5*1000)))^2</f>
        <v>1.4709705891825043E-2</v>
      </c>
      <c r="AN112" s="19">
        <f t="shared" si="50"/>
        <v>2.1543104841910781</v>
      </c>
      <c r="AO112" s="19">
        <f>IF($H112&gt;0,'Calculation Constants'!$B$9*Hydraulics!$K112^2/2/9.81/MAX($F$4:$F$253)*$H112,"")</f>
        <v>7.8734226558858159E-2</v>
      </c>
      <c r="AP112" s="19">
        <f t="shared" si="51"/>
        <v>2.2330447107499363</v>
      </c>
      <c r="AQ112" s="19">
        <f t="shared" si="41"/>
        <v>0</v>
      </c>
      <c r="AR112" s="19">
        <f t="shared" si="52"/>
        <v>14.283796637872456</v>
      </c>
      <c r="AS112" s="23">
        <f t="shared" si="42"/>
        <v>929.8677966378724</v>
      </c>
    </row>
    <row r="113" spans="5:45">
      <c r="E113" s="35" t="str">
        <f t="shared" si="28"/>
        <v/>
      </c>
      <c r="F113" s="19">
        <f>'Profile data'!A113</f>
        <v>220</v>
      </c>
      <c r="G113" s="19">
        <f>VLOOKUP(F113,'Profile data'!A113:C372,IF($B$22="Botswana 1",2,3))</f>
        <v>915.44399999999996</v>
      </c>
      <c r="H113" s="19">
        <f t="shared" si="53"/>
        <v>2</v>
      </c>
      <c r="I113" s="19">
        <v>1.8</v>
      </c>
      <c r="J113" s="36">
        <f>'Flow Rate Calculations'!$B$7</f>
        <v>4.0831050228310497</v>
      </c>
      <c r="K113" s="36">
        <f t="shared" si="43"/>
        <v>1.6045588828318709</v>
      </c>
      <c r="L113" s="37">
        <f>$I113*$K113/'Calculation Constants'!$B$7</f>
        <v>2555934.503625989</v>
      </c>
      <c r="M113" s="37">
        <f t="shared" si="29"/>
        <v>196.22600000000011</v>
      </c>
      <c r="N113" s="23">
        <f t="shared" si="44"/>
        <v>84.341732348614414</v>
      </c>
      <c r="O113" s="55">
        <f t="shared" si="30"/>
        <v>196.22600000000011</v>
      </c>
      <c r="P113" s="64">
        <f>MAX(I113*1000/'Calculation Constants'!$B$14,O113*10*I113*1000/2/('Calculation Constants'!$B$12*1000*'Calculation Constants'!$B$13))</f>
        <v>11.773560000000007</v>
      </c>
      <c r="Q113" s="66">
        <f t="shared" si="31"/>
        <v>1038436.2456857221</v>
      </c>
      <c r="R113" s="27">
        <f>(1/(2*LOG(3.7*$I113/'Calculation Constants'!$B$2*1000)))^2</f>
        <v>8.7463077071963571E-3</v>
      </c>
      <c r="S113" s="19">
        <f t="shared" si="45"/>
        <v>1.2752477269849725</v>
      </c>
      <c r="T113" s="19">
        <f>IF($H113&gt;0,'Calculation Constants'!$B$9*Hydraulics!$K113^2/2/9.81/MAX($F$4:$F$253)*$H113,"")</f>
        <v>7.8734226558858159E-2</v>
      </c>
      <c r="U113" s="19">
        <f t="shared" si="46"/>
        <v>1.3539819535438307</v>
      </c>
      <c r="V113" s="19">
        <f t="shared" si="32"/>
        <v>0</v>
      </c>
      <c r="W113" s="19">
        <f t="shared" si="33"/>
        <v>84.341732348614414</v>
      </c>
      <c r="X113" s="23">
        <f t="shared" si="34"/>
        <v>999.78573234861437</v>
      </c>
      <c r="Y113" s="22">
        <f>(1/(2*LOG(3.7*$I113/'Calculation Constants'!$B$3*1000)))^2</f>
        <v>9.8211436332891755E-3</v>
      </c>
      <c r="Z113" s="19">
        <f t="shared" si="35"/>
        <v>1.431963236834217</v>
      </c>
      <c r="AA113" s="19">
        <f>IF($H113&gt;0,'Calculation Constants'!$B$9*Hydraulics!$K113^2/2/9.81/MAX($F$4:$F$253)*$H113,"")</f>
        <v>7.8734226558858159E-2</v>
      </c>
      <c r="AB113" s="19">
        <f t="shared" si="54"/>
        <v>1.5106974633930752</v>
      </c>
      <c r="AC113" s="19">
        <f t="shared" si="36"/>
        <v>0</v>
      </c>
      <c r="AD113" s="19">
        <f t="shared" si="47"/>
        <v>71.460600875584646</v>
      </c>
      <c r="AE113" s="23">
        <f t="shared" si="37"/>
        <v>986.90460087558461</v>
      </c>
      <c r="AF113" s="27">
        <f>(1/(2*LOG(3.7*$I113/'Calculation Constants'!$B$4*1000)))^2</f>
        <v>1.1575055557914658E-2</v>
      </c>
      <c r="AG113" s="19">
        <f t="shared" si="38"/>
        <v>1.6876908272744866</v>
      </c>
      <c r="AH113" s="19">
        <f>IF($H113&gt;0,'Calculation Constants'!$B$9*Hydraulics!$K113^2/2/9.81/MAX($F$4:$F$253)*$H113,"")</f>
        <v>7.8734226558858159E-2</v>
      </c>
      <c r="AI113" s="19">
        <f t="shared" si="48"/>
        <v>1.7664250538333448</v>
      </c>
      <c r="AJ113" s="19">
        <f t="shared" si="39"/>
        <v>0</v>
      </c>
      <c r="AK113" s="19">
        <f t="shared" si="49"/>
        <v>50.454195954637271</v>
      </c>
      <c r="AL113" s="23">
        <f t="shared" si="40"/>
        <v>965.89819595463723</v>
      </c>
      <c r="AM113" s="22">
        <f>(1/(2*LOG(3.7*($I113-0.008)/'Calculation Constants'!$B$5*1000)))^2</f>
        <v>1.4709705891825043E-2</v>
      </c>
      <c r="AN113" s="19">
        <f t="shared" si="50"/>
        <v>2.1543104841910781</v>
      </c>
      <c r="AO113" s="19">
        <f>IF($H113&gt;0,'Calculation Constants'!$B$9*Hydraulics!$K113^2/2/9.81/MAX($F$4:$F$253)*$H113,"")</f>
        <v>7.8734226558858159E-2</v>
      </c>
      <c r="AP113" s="19">
        <f t="shared" si="51"/>
        <v>2.2330447107499363</v>
      </c>
      <c r="AQ113" s="19">
        <f t="shared" si="41"/>
        <v>0</v>
      </c>
      <c r="AR113" s="19">
        <f t="shared" si="52"/>
        <v>12.190751927122506</v>
      </c>
      <c r="AS113" s="23">
        <f t="shared" si="42"/>
        <v>927.63475192712247</v>
      </c>
    </row>
    <row r="114" spans="5:45">
      <c r="E114" s="35" t="str">
        <f t="shared" si="28"/>
        <v/>
      </c>
      <c r="F114" s="19">
        <f>'Profile data'!A114</f>
        <v>222</v>
      </c>
      <c r="G114" s="19">
        <f>VLOOKUP(F114,'Profile data'!A114:C373,IF($B$22="Botswana 1",2,3))</f>
        <v>913.52</v>
      </c>
      <c r="H114" s="19">
        <f t="shared" si="53"/>
        <v>2</v>
      </c>
      <c r="I114" s="19">
        <v>1.8</v>
      </c>
      <c r="J114" s="36">
        <f>'Flow Rate Calculations'!$B$7</f>
        <v>4.0831050228310497</v>
      </c>
      <c r="K114" s="36">
        <f t="shared" si="43"/>
        <v>1.6045588828318709</v>
      </c>
      <c r="L114" s="37">
        <f>$I114*$K114/'Calculation Constants'!$B$7</f>
        <v>2555934.503625989</v>
      </c>
      <c r="M114" s="37">
        <f t="shared" si="29"/>
        <v>198.15000000000009</v>
      </c>
      <c r="N114" s="23">
        <f t="shared" si="44"/>
        <v>84.911750395070612</v>
      </c>
      <c r="O114" s="55">
        <f t="shared" si="30"/>
        <v>198.15000000000009</v>
      </c>
      <c r="P114" s="64">
        <f>MAX(I114*1000/'Calculation Constants'!$B$14,O114*10*I114*1000/2/('Calculation Constants'!$B$12*1000*'Calculation Constants'!$B$13))</f>
        <v>11.889000000000006</v>
      </c>
      <c r="Q114" s="66">
        <f t="shared" si="31"/>
        <v>1048550.4404584797</v>
      </c>
      <c r="R114" s="27">
        <f>(1/(2*LOG(3.7*$I114/'Calculation Constants'!$B$2*1000)))^2</f>
        <v>8.7463077071963571E-3</v>
      </c>
      <c r="S114" s="19">
        <f t="shared" si="45"/>
        <v>1.2752477269849725</v>
      </c>
      <c r="T114" s="19">
        <f>IF($H114&gt;0,'Calculation Constants'!$B$9*Hydraulics!$K114^2/2/9.81/MAX($F$4:$F$253)*$H114,"")</f>
        <v>7.8734226558858159E-2</v>
      </c>
      <c r="U114" s="19">
        <f t="shared" si="46"/>
        <v>1.3539819535438307</v>
      </c>
      <c r="V114" s="19">
        <f t="shared" si="32"/>
        <v>0</v>
      </c>
      <c r="W114" s="19">
        <f t="shared" si="33"/>
        <v>84.911750395070612</v>
      </c>
      <c r="X114" s="23">
        <f t="shared" si="34"/>
        <v>998.43175039507059</v>
      </c>
      <c r="Y114" s="22">
        <f>(1/(2*LOG(3.7*$I114/'Calculation Constants'!$B$3*1000)))^2</f>
        <v>9.8211436332891755E-3</v>
      </c>
      <c r="Z114" s="19">
        <f t="shared" si="35"/>
        <v>1.431963236834217</v>
      </c>
      <c r="AA114" s="19">
        <f>IF($H114&gt;0,'Calculation Constants'!$B$9*Hydraulics!$K114^2/2/9.81/MAX($F$4:$F$253)*$H114,"")</f>
        <v>7.8734226558858159E-2</v>
      </c>
      <c r="AB114" s="19">
        <f t="shared" si="54"/>
        <v>1.5106974633930752</v>
      </c>
      <c r="AC114" s="19">
        <f t="shared" si="36"/>
        <v>0</v>
      </c>
      <c r="AD114" s="19">
        <f t="shared" si="47"/>
        <v>71.873903412191567</v>
      </c>
      <c r="AE114" s="23">
        <f t="shared" si="37"/>
        <v>985.39390341219155</v>
      </c>
      <c r="AF114" s="27">
        <f>(1/(2*LOG(3.7*$I114/'Calculation Constants'!$B$4*1000)))^2</f>
        <v>1.1575055557914658E-2</v>
      </c>
      <c r="AG114" s="19">
        <f t="shared" si="38"/>
        <v>1.6876908272744866</v>
      </c>
      <c r="AH114" s="19">
        <f>IF($H114&gt;0,'Calculation Constants'!$B$9*Hydraulics!$K114^2/2/9.81/MAX($F$4:$F$253)*$H114,"")</f>
        <v>7.8734226558858159E-2</v>
      </c>
      <c r="AI114" s="19">
        <f t="shared" si="48"/>
        <v>1.7664250538333448</v>
      </c>
      <c r="AJ114" s="19">
        <f t="shared" si="39"/>
        <v>0</v>
      </c>
      <c r="AK114" s="19">
        <f t="shared" si="49"/>
        <v>50.61177090080389</v>
      </c>
      <c r="AL114" s="23">
        <f t="shared" si="40"/>
        <v>964.13177090080387</v>
      </c>
      <c r="AM114" s="22">
        <f>(1/(2*LOG(3.7*($I114-0.008)/'Calculation Constants'!$B$5*1000)))^2</f>
        <v>1.4709705891825043E-2</v>
      </c>
      <c r="AN114" s="19">
        <f t="shared" si="50"/>
        <v>2.1543104841910781</v>
      </c>
      <c r="AO114" s="19">
        <f>IF($H114&gt;0,'Calculation Constants'!$B$9*Hydraulics!$K114^2/2/9.81/MAX($F$4:$F$253)*$H114,"")</f>
        <v>7.8734226558858159E-2</v>
      </c>
      <c r="AP114" s="19">
        <f t="shared" si="51"/>
        <v>2.2330447107499363</v>
      </c>
      <c r="AQ114" s="19">
        <f t="shared" si="41"/>
        <v>0</v>
      </c>
      <c r="AR114" s="19">
        <f t="shared" si="52"/>
        <v>11.881707216372547</v>
      </c>
      <c r="AS114" s="23">
        <f t="shared" si="42"/>
        <v>925.40170721637253</v>
      </c>
    </row>
    <row r="115" spans="5:45">
      <c r="E115" s="35" t="str">
        <f t="shared" si="28"/>
        <v/>
      </c>
      <c r="F115" s="19">
        <f>'Profile data'!A115</f>
        <v>224</v>
      </c>
      <c r="G115" s="19">
        <f>VLOOKUP(F115,'Profile data'!A115:C374,IF($B$22="Botswana 1",2,3))</f>
        <v>912.524</v>
      </c>
      <c r="H115" s="19">
        <f t="shared" si="53"/>
        <v>2</v>
      </c>
      <c r="I115" s="19">
        <v>1.8</v>
      </c>
      <c r="J115" s="36">
        <f>'Flow Rate Calculations'!$B$7</f>
        <v>4.0831050228310497</v>
      </c>
      <c r="K115" s="36">
        <f t="shared" si="43"/>
        <v>1.6045588828318709</v>
      </c>
      <c r="L115" s="37">
        <f>$I115*$K115/'Calculation Constants'!$B$7</f>
        <v>2555934.503625989</v>
      </c>
      <c r="M115" s="37">
        <f t="shared" si="29"/>
        <v>199.14600000000007</v>
      </c>
      <c r="N115" s="23">
        <f t="shared" si="44"/>
        <v>84.553768441526813</v>
      </c>
      <c r="O115" s="55">
        <f t="shared" si="30"/>
        <v>199.14600000000007</v>
      </c>
      <c r="P115" s="64">
        <f>MAX(I115*1000/'Calculation Constants'!$B$14,O115*10*I115*1000/2/('Calculation Constants'!$B$12*1000*'Calculation Constants'!$B$13))</f>
        <v>11.948760000000005</v>
      </c>
      <c r="Q115" s="66">
        <f t="shared" si="31"/>
        <v>1053785.7546070185</v>
      </c>
      <c r="R115" s="27">
        <f>(1/(2*LOG(3.7*$I115/'Calculation Constants'!$B$2*1000)))^2</f>
        <v>8.7463077071963571E-3</v>
      </c>
      <c r="S115" s="19">
        <f t="shared" si="45"/>
        <v>1.2752477269849725</v>
      </c>
      <c r="T115" s="19">
        <f>IF($H115&gt;0,'Calculation Constants'!$B$9*Hydraulics!$K115^2/2/9.81/MAX($F$4:$F$253)*$H115,"")</f>
        <v>7.8734226558858159E-2</v>
      </c>
      <c r="U115" s="19">
        <f t="shared" si="46"/>
        <v>1.3539819535438307</v>
      </c>
      <c r="V115" s="19">
        <f t="shared" si="32"/>
        <v>0</v>
      </c>
      <c r="W115" s="19">
        <f t="shared" si="33"/>
        <v>84.553768441526813</v>
      </c>
      <c r="X115" s="23">
        <f t="shared" si="34"/>
        <v>997.07776844152681</v>
      </c>
      <c r="Y115" s="22">
        <f>(1/(2*LOG(3.7*$I115/'Calculation Constants'!$B$3*1000)))^2</f>
        <v>9.8211436332891755E-3</v>
      </c>
      <c r="Z115" s="19">
        <f t="shared" si="35"/>
        <v>1.431963236834217</v>
      </c>
      <c r="AA115" s="19">
        <f>IF($H115&gt;0,'Calculation Constants'!$B$9*Hydraulics!$K115^2/2/9.81/MAX($F$4:$F$253)*$H115,"")</f>
        <v>7.8734226558858159E-2</v>
      </c>
      <c r="AB115" s="19">
        <f t="shared" si="54"/>
        <v>1.5106974633930752</v>
      </c>
      <c r="AC115" s="19">
        <f t="shared" si="36"/>
        <v>0</v>
      </c>
      <c r="AD115" s="19">
        <f t="shared" si="47"/>
        <v>71.35920594879849</v>
      </c>
      <c r="AE115" s="23">
        <f t="shared" si="37"/>
        <v>983.88320594879849</v>
      </c>
      <c r="AF115" s="27">
        <f>(1/(2*LOG(3.7*$I115/'Calculation Constants'!$B$4*1000)))^2</f>
        <v>1.1575055557914658E-2</v>
      </c>
      <c r="AG115" s="19">
        <f t="shared" si="38"/>
        <v>1.6876908272744866</v>
      </c>
      <c r="AH115" s="19">
        <f>IF($H115&gt;0,'Calculation Constants'!$B$9*Hydraulics!$K115^2/2/9.81/MAX($F$4:$F$253)*$H115,"")</f>
        <v>7.8734226558858159E-2</v>
      </c>
      <c r="AI115" s="19">
        <f t="shared" si="48"/>
        <v>1.7664250538333448</v>
      </c>
      <c r="AJ115" s="19">
        <f t="shared" si="39"/>
        <v>0</v>
      </c>
      <c r="AK115" s="19">
        <f t="shared" si="49"/>
        <v>49.841345846970512</v>
      </c>
      <c r="AL115" s="23">
        <f t="shared" si="40"/>
        <v>962.36534584697051</v>
      </c>
      <c r="AM115" s="22">
        <f>(1/(2*LOG(3.7*($I115-0.008)/'Calculation Constants'!$B$5*1000)))^2</f>
        <v>1.4709705891825043E-2</v>
      </c>
      <c r="AN115" s="19">
        <f t="shared" si="50"/>
        <v>2.1543104841910781</v>
      </c>
      <c r="AO115" s="19">
        <f>IF($H115&gt;0,'Calculation Constants'!$B$9*Hydraulics!$K115^2/2/9.81/MAX($F$4:$F$253)*$H115,"")</f>
        <v>7.8734226558858159E-2</v>
      </c>
      <c r="AP115" s="19">
        <f t="shared" si="51"/>
        <v>2.2330447107499363</v>
      </c>
      <c r="AQ115" s="19">
        <f t="shared" si="41"/>
        <v>0</v>
      </c>
      <c r="AR115" s="19">
        <f t="shared" si="52"/>
        <v>10.644662505622591</v>
      </c>
      <c r="AS115" s="23">
        <f t="shared" si="42"/>
        <v>923.16866250562259</v>
      </c>
    </row>
    <row r="116" spans="5:45">
      <c r="E116" s="35" t="str">
        <f t="shared" si="28"/>
        <v/>
      </c>
      <c r="F116" s="19">
        <f>'Profile data'!A116</f>
        <v>226</v>
      </c>
      <c r="G116" s="19">
        <f>VLOOKUP(F116,'Profile data'!A116:C375,IF($B$22="Botswana 1",2,3))</f>
        <v>912.56500000000005</v>
      </c>
      <c r="H116" s="19">
        <f t="shared" si="53"/>
        <v>2</v>
      </c>
      <c r="I116" s="19">
        <v>1.8</v>
      </c>
      <c r="J116" s="36">
        <f>'Flow Rate Calculations'!$B$7</f>
        <v>4.0831050228310497</v>
      </c>
      <c r="K116" s="36">
        <f t="shared" si="43"/>
        <v>1.6045588828318709</v>
      </c>
      <c r="L116" s="37">
        <f>$I116*$K116/'Calculation Constants'!$B$7</f>
        <v>2555934.503625989</v>
      </c>
      <c r="M116" s="37">
        <f t="shared" si="29"/>
        <v>199.10500000000002</v>
      </c>
      <c r="N116" s="23">
        <f t="shared" si="44"/>
        <v>83.158786487982979</v>
      </c>
      <c r="O116" s="55">
        <f t="shared" si="30"/>
        <v>199.10500000000002</v>
      </c>
      <c r="P116" s="64">
        <f>MAX(I116*1000/'Calculation Constants'!$B$14,O116*10*I116*1000/2/('Calculation Constants'!$B$12*1000*'Calculation Constants'!$B$13))</f>
        <v>11.946300000000001</v>
      </c>
      <c r="Q116" s="66">
        <f t="shared" si="31"/>
        <v>1053570.251639718</v>
      </c>
      <c r="R116" s="27">
        <f>(1/(2*LOG(3.7*$I116/'Calculation Constants'!$B$2*1000)))^2</f>
        <v>8.7463077071963571E-3</v>
      </c>
      <c r="S116" s="19">
        <f t="shared" si="45"/>
        <v>1.2752477269849725</v>
      </c>
      <c r="T116" s="19">
        <f>IF($H116&gt;0,'Calculation Constants'!$B$9*Hydraulics!$K116^2/2/9.81/MAX($F$4:$F$253)*$H116,"")</f>
        <v>7.8734226558858159E-2</v>
      </c>
      <c r="U116" s="19">
        <f t="shared" si="46"/>
        <v>1.3539819535438307</v>
      </c>
      <c r="V116" s="19">
        <f t="shared" si="32"/>
        <v>0</v>
      </c>
      <c r="W116" s="19">
        <f t="shared" si="33"/>
        <v>83.158786487982979</v>
      </c>
      <c r="X116" s="23">
        <f t="shared" si="34"/>
        <v>995.72378648798303</v>
      </c>
      <c r="Y116" s="22">
        <f>(1/(2*LOG(3.7*$I116/'Calculation Constants'!$B$3*1000)))^2</f>
        <v>9.8211436332891755E-3</v>
      </c>
      <c r="Z116" s="19">
        <f t="shared" si="35"/>
        <v>1.431963236834217</v>
      </c>
      <c r="AA116" s="19">
        <f>IF($H116&gt;0,'Calculation Constants'!$B$9*Hydraulics!$K116^2/2/9.81/MAX($F$4:$F$253)*$H116,"")</f>
        <v>7.8734226558858159E-2</v>
      </c>
      <c r="AB116" s="19">
        <f t="shared" si="54"/>
        <v>1.5106974633930752</v>
      </c>
      <c r="AC116" s="19">
        <f t="shared" si="36"/>
        <v>0</v>
      </c>
      <c r="AD116" s="19">
        <f t="shared" si="47"/>
        <v>69.807508485405378</v>
      </c>
      <c r="AE116" s="23">
        <f t="shared" si="37"/>
        <v>982.37250848540543</v>
      </c>
      <c r="AF116" s="27">
        <f>(1/(2*LOG(3.7*$I116/'Calculation Constants'!$B$4*1000)))^2</f>
        <v>1.1575055557914658E-2</v>
      </c>
      <c r="AG116" s="19">
        <f t="shared" si="38"/>
        <v>1.6876908272744866</v>
      </c>
      <c r="AH116" s="19">
        <f>IF($H116&gt;0,'Calculation Constants'!$B$9*Hydraulics!$K116^2/2/9.81/MAX($F$4:$F$253)*$H116,"")</f>
        <v>7.8734226558858159E-2</v>
      </c>
      <c r="AI116" s="19">
        <f t="shared" si="48"/>
        <v>1.7664250538333448</v>
      </c>
      <c r="AJ116" s="19">
        <f t="shared" si="39"/>
        <v>0</v>
      </c>
      <c r="AK116" s="19">
        <f t="shared" si="49"/>
        <v>48.033920793137099</v>
      </c>
      <c r="AL116" s="23">
        <f t="shared" si="40"/>
        <v>960.59892079313715</v>
      </c>
      <c r="AM116" s="22">
        <f>(1/(2*LOG(3.7*($I116-0.008)/'Calculation Constants'!$B$5*1000)))^2</f>
        <v>1.4709705891825043E-2</v>
      </c>
      <c r="AN116" s="19">
        <f t="shared" si="50"/>
        <v>2.1543104841910781</v>
      </c>
      <c r="AO116" s="19">
        <f>IF($H116&gt;0,'Calculation Constants'!$B$9*Hydraulics!$K116^2/2/9.81/MAX($F$4:$F$253)*$H116,"")</f>
        <v>7.8734226558858159E-2</v>
      </c>
      <c r="AP116" s="19">
        <f t="shared" si="51"/>
        <v>2.2330447107499363</v>
      </c>
      <c r="AQ116" s="19">
        <f t="shared" si="41"/>
        <v>0</v>
      </c>
      <c r="AR116" s="19">
        <f t="shared" si="52"/>
        <v>8.3706177948726008</v>
      </c>
      <c r="AS116" s="23">
        <f t="shared" si="42"/>
        <v>920.93561779487266</v>
      </c>
    </row>
    <row r="117" spans="5:45">
      <c r="E117" s="35" t="str">
        <f t="shared" si="28"/>
        <v>Reservoir</v>
      </c>
      <c r="F117" s="19">
        <f>'Profile data'!A117</f>
        <v>228</v>
      </c>
      <c r="G117" s="19">
        <f>VLOOKUP(F117,'Profile data'!A117:C376,IF($B$22="Botswana 1",2,3))</f>
        <v>913.48400000000004</v>
      </c>
      <c r="H117" s="19">
        <f t="shared" si="53"/>
        <v>2</v>
      </c>
      <c r="I117" s="19">
        <v>2.2000000000000002</v>
      </c>
      <c r="J117" s="36">
        <f>'Flow Rate Calculations'!$B$7</f>
        <v>4.0831050228310497</v>
      </c>
      <c r="K117" s="36">
        <f t="shared" si="43"/>
        <v>1.0741261942924094</v>
      </c>
      <c r="L117" s="37">
        <f>$I117*$K117/'Calculation Constants'!$B$7</f>
        <v>2091219.139330355</v>
      </c>
      <c r="M117" s="37" t="str">
        <f t="shared" si="29"/>
        <v>Greater Dynamic Pressures</v>
      </c>
      <c r="N117" s="23">
        <f t="shared" si="44"/>
        <v>10</v>
      </c>
      <c r="O117" s="55">
        <f t="shared" si="30"/>
        <v>269.99999999999989</v>
      </c>
      <c r="P117" s="64">
        <f>MAX(I117*1000/'Calculation Constants'!$B$14,O117*10*I117*1000/2/('Calculation Constants'!$B$12*1000*'Calculation Constants'!$B$13))</f>
        <v>19.799999999999994</v>
      </c>
      <c r="Q117" s="66">
        <f t="shared" si="31"/>
        <v>2129173.4923014008</v>
      </c>
      <c r="R117" s="27">
        <f>(1/(2*LOG(3.7*$I117/'Calculation Constants'!$B$2*1000)))^2</f>
        <v>8.4679866037394684E-3</v>
      </c>
      <c r="S117" s="19">
        <f t="shared" si="45"/>
        <v>0.45268811177167712</v>
      </c>
      <c r="T117" s="19">
        <f>IF($H117&gt;0,'Calculation Constants'!$B$9*Hydraulics!$K117^2/2/9.81/MAX($F$4:$F$253)*$H117,"")</f>
        <v>3.5282785359788842E-2</v>
      </c>
      <c r="U117" s="19">
        <f t="shared" si="46"/>
        <v>0.48797089713146596</v>
      </c>
      <c r="V117" s="19">
        <f t="shared" si="32"/>
        <v>260</v>
      </c>
      <c r="W117" s="19">
        <f t="shared" si="33"/>
        <v>10</v>
      </c>
      <c r="X117" s="23">
        <f t="shared" si="34"/>
        <v>1183.4839999999999</v>
      </c>
      <c r="Y117" s="22">
        <f>(1/(2*LOG(3.7*$I117/'Calculation Constants'!$B$3*1000)))^2</f>
        <v>9.4904462912918219E-3</v>
      </c>
      <c r="Z117" s="19">
        <f t="shared" si="35"/>
        <v>0.50734754464280807</v>
      </c>
      <c r="AA117" s="19">
        <f>IF($H117&gt;0,'Calculation Constants'!$B$9*Hydraulics!$K117^2/2/9.81/MAX($F$4:$F$253)*$H117,"")</f>
        <v>3.5282785359788842E-2</v>
      </c>
      <c r="AB117" s="19">
        <f t="shared" si="54"/>
        <v>0.54263033000259686</v>
      </c>
      <c r="AC117" s="19">
        <f t="shared" si="36"/>
        <v>260</v>
      </c>
      <c r="AD117" s="19">
        <f t="shared" si="47"/>
        <v>269.99999999999989</v>
      </c>
      <c r="AE117" s="23">
        <f t="shared" si="37"/>
        <v>1183.4839999999999</v>
      </c>
      <c r="AF117" s="27">
        <f>(1/(2*LOG(3.7*$I117/'Calculation Constants'!$B$4*1000)))^2</f>
        <v>1.1152845500629007E-2</v>
      </c>
      <c r="AG117" s="19">
        <f t="shared" si="38"/>
        <v>0.59621735446906032</v>
      </c>
      <c r="AH117" s="19">
        <f>IF($H117&gt;0,'Calculation Constants'!$B$9*Hydraulics!$K117^2/2/9.81/MAX($F$4:$F$253)*$H117,"")</f>
        <v>3.5282785359788842E-2</v>
      </c>
      <c r="AI117" s="19">
        <f t="shared" si="48"/>
        <v>0.63150013982884912</v>
      </c>
      <c r="AJ117" s="19">
        <f t="shared" si="39"/>
        <v>260</v>
      </c>
      <c r="AK117" s="19">
        <f t="shared" si="49"/>
        <v>269.99999999999989</v>
      </c>
      <c r="AL117" s="23">
        <f t="shared" si="40"/>
        <v>1183.4839999999999</v>
      </c>
      <c r="AM117" s="22">
        <f>(1/(2*LOG(3.7*($I117-0.008)/'Calculation Constants'!$B$5*1000)))^2</f>
        <v>1.4104604303736145E-2</v>
      </c>
      <c r="AN117" s="19">
        <f t="shared" si="50"/>
        <v>0.75676661531854661</v>
      </c>
      <c r="AO117" s="19">
        <f>IF($H117&gt;0,'Calculation Constants'!$B$9*Hydraulics!$K117^2/2/9.81/MAX($F$4:$F$253)*$H117,"")</f>
        <v>3.5282785359788842E-2</v>
      </c>
      <c r="AP117" s="19">
        <f t="shared" si="51"/>
        <v>0.7920494006783354</v>
      </c>
      <c r="AQ117" s="19">
        <f t="shared" si="41"/>
        <v>260</v>
      </c>
      <c r="AR117" s="19">
        <f t="shared" si="52"/>
        <v>269.99999999999989</v>
      </c>
      <c r="AS117" s="23">
        <f t="shared" si="42"/>
        <v>1183.4839999999999</v>
      </c>
    </row>
    <row r="118" spans="5:45">
      <c r="E118" s="35" t="str">
        <f t="shared" si="28"/>
        <v/>
      </c>
      <c r="F118" s="19">
        <f>'Profile data'!A118</f>
        <v>230</v>
      </c>
      <c r="G118" s="19">
        <f>VLOOKUP(F118,'Profile data'!A118:C377,IF($B$22="Botswana 1",2,3))</f>
        <v>913.54499999999996</v>
      </c>
      <c r="H118" s="19">
        <f t="shared" si="53"/>
        <v>2</v>
      </c>
      <c r="I118" s="19">
        <v>2.2000000000000002</v>
      </c>
      <c r="J118" s="36">
        <f>'Flow Rate Calculations'!$B$7</f>
        <v>4.0831050228310497</v>
      </c>
      <c r="K118" s="36">
        <f t="shared" si="43"/>
        <v>1.0741261942924094</v>
      </c>
      <c r="L118" s="37">
        <f>$I118*$K118/'Calculation Constants'!$B$7</f>
        <v>2091219.139330355</v>
      </c>
      <c r="M118" s="37" t="str">
        <f t="shared" si="29"/>
        <v>Greater Dynamic Pressures</v>
      </c>
      <c r="N118" s="23">
        <f t="shared" si="44"/>
        <v>269.45102910286857</v>
      </c>
      <c r="O118" s="55">
        <f t="shared" si="30"/>
        <v>269.3963696699974</v>
      </c>
      <c r="P118" s="64">
        <f>MAX(I118*1000/'Calculation Constants'!$B$14,O118*10*I118*1000/2/('Calculation Constants'!$B$12*1000*'Calculation Constants'!$B$13))</f>
        <v>19.755733775799811</v>
      </c>
      <c r="Q118" s="66">
        <f t="shared" si="31"/>
        <v>2124456.5010414212</v>
      </c>
      <c r="R118" s="27">
        <f>(1/(2*LOG(3.7*$I118/'Calculation Constants'!$B$2*1000)))^2</f>
        <v>8.4679866037394684E-3</v>
      </c>
      <c r="S118" s="19">
        <f t="shared" si="45"/>
        <v>0.45268811177167712</v>
      </c>
      <c r="T118" s="19">
        <f>IF($H118&gt;0,'Calculation Constants'!$B$9*Hydraulics!$K118^2/2/9.81/MAX($F$4:$F$253)*$H118,"")</f>
        <v>3.5282785359788842E-2</v>
      </c>
      <c r="U118" s="19">
        <f t="shared" si="46"/>
        <v>0.48797089713146596</v>
      </c>
      <c r="V118" s="19">
        <f t="shared" si="32"/>
        <v>0</v>
      </c>
      <c r="W118" s="19">
        <f t="shared" si="33"/>
        <v>269.45102910286857</v>
      </c>
      <c r="X118" s="23">
        <f t="shared" si="34"/>
        <v>1182.9960291028685</v>
      </c>
      <c r="Y118" s="22">
        <f>(1/(2*LOG(3.7*$I118/'Calculation Constants'!$B$3*1000)))^2</f>
        <v>9.4904462912918219E-3</v>
      </c>
      <c r="Z118" s="19">
        <f t="shared" si="35"/>
        <v>0.50734754464280807</v>
      </c>
      <c r="AA118" s="19">
        <f>IF($H118&gt;0,'Calculation Constants'!$B$9*Hydraulics!$K118^2/2/9.81/MAX($F$4:$F$253)*$H118,"")</f>
        <v>3.5282785359788842E-2</v>
      </c>
      <c r="AB118" s="19">
        <f t="shared" si="54"/>
        <v>0.54263033000259686</v>
      </c>
      <c r="AC118" s="19">
        <f t="shared" si="36"/>
        <v>0</v>
      </c>
      <c r="AD118" s="19">
        <f t="shared" si="47"/>
        <v>269.3963696699974</v>
      </c>
      <c r="AE118" s="23">
        <f t="shared" si="37"/>
        <v>1182.9413696699974</v>
      </c>
      <c r="AF118" s="27">
        <f>(1/(2*LOG(3.7*$I118/'Calculation Constants'!$B$4*1000)))^2</f>
        <v>1.1152845500629007E-2</v>
      </c>
      <c r="AG118" s="19">
        <f t="shared" si="38"/>
        <v>0.59621735446906032</v>
      </c>
      <c r="AH118" s="19">
        <f>IF($H118&gt;0,'Calculation Constants'!$B$9*Hydraulics!$K118^2/2/9.81/MAX($F$4:$F$253)*$H118,"")</f>
        <v>3.5282785359788842E-2</v>
      </c>
      <c r="AI118" s="19">
        <f t="shared" si="48"/>
        <v>0.63150013982884912</v>
      </c>
      <c r="AJ118" s="19">
        <f t="shared" si="39"/>
        <v>0</v>
      </c>
      <c r="AK118" s="19">
        <f t="shared" si="49"/>
        <v>269.30749986017111</v>
      </c>
      <c r="AL118" s="23">
        <f t="shared" si="40"/>
        <v>1182.8524998601711</v>
      </c>
      <c r="AM118" s="22">
        <f>(1/(2*LOG(3.7*($I118-0.008)/'Calculation Constants'!$B$5*1000)))^2</f>
        <v>1.4104604303736145E-2</v>
      </c>
      <c r="AN118" s="19">
        <f t="shared" si="50"/>
        <v>0.75676661531854661</v>
      </c>
      <c r="AO118" s="19">
        <f>IF($H118&gt;0,'Calculation Constants'!$B$9*Hydraulics!$K118^2/2/9.81/MAX($F$4:$F$253)*$H118,"")</f>
        <v>3.5282785359788842E-2</v>
      </c>
      <c r="AP118" s="19">
        <f t="shared" si="51"/>
        <v>0.7920494006783354</v>
      </c>
      <c r="AQ118" s="19">
        <f t="shared" si="41"/>
        <v>0</v>
      </c>
      <c r="AR118" s="19">
        <f t="shared" si="52"/>
        <v>269.14695059932171</v>
      </c>
      <c r="AS118" s="23">
        <f t="shared" si="42"/>
        <v>1182.6919505993217</v>
      </c>
    </row>
    <row r="119" spans="5:45">
      <c r="E119" s="35" t="str">
        <f t="shared" si="28"/>
        <v/>
      </c>
      <c r="F119" s="19">
        <f>'Profile data'!A119</f>
        <v>232</v>
      </c>
      <c r="G119" s="19">
        <f>VLOOKUP(F119,'Profile data'!A119:C378,IF($B$22="Botswana 1",2,3))</f>
        <v>914.54600000000005</v>
      </c>
      <c r="H119" s="19">
        <f t="shared" si="53"/>
        <v>2</v>
      </c>
      <c r="I119" s="19">
        <v>2.2000000000000002</v>
      </c>
      <c r="J119" s="36">
        <f>'Flow Rate Calculations'!$B$7</f>
        <v>4.0831050228310497</v>
      </c>
      <c r="K119" s="36">
        <f t="shared" si="43"/>
        <v>1.0741261942924094</v>
      </c>
      <c r="L119" s="37">
        <f>$I119*$K119/'Calculation Constants'!$B$7</f>
        <v>2091219.139330355</v>
      </c>
      <c r="M119" s="37" t="str">
        <f t="shared" si="29"/>
        <v>Greater Dynamic Pressures</v>
      </c>
      <c r="N119" s="23">
        <f t="shared" si="44"/>
        <v>267.96205820573709</v>
      </c>
      <c r="O119" s="55">
        <f t="shared" si="30"/>
        <v>267.85273933999474</v>
      </c>
      <c r="P119" s="64">
        <f>MAX(I119*1000/'Calculation Constants'!$B$14,O119*10*I119*1000/2/('Calculation Constants'!$B$12*1000*'Calculation Constants'!$B$13))</f>
        <v>19.642534218266285</v>
      </c>
      <c r="Q119" s="66">
        <f t="shared" si="31"/>
        <v>2112393.1219892493</v>
      </c>
      <c r="R119" s="27">
        <f>(1/(2*LOG(3.7*$I119/'Calculation Constants'!$B$2*1000)))^2</f>
        <v>8.4679866037394684E-3</v>
      </c>
      <c r="S119" s="19">
        <f t="shared" si="45"/>
        <v>0.45268811177167712</v>
      </c>
      <c r="T119" s="19">
        <f>IF($H119&gt;0,'Calculation Constants'!$B$9*Hydraulics!$K119^2/2/9.81/MAX($F$4:$F$253)*$H119,"")</f>
        <v>3.5282785359788842E-2</v>
      </c>
      <c r="U119" s="19">
        <f t="shared" si="46"/>
        <v>0.48797089713146596</v>
      </c>
      <c r="V119" s="19">
        <f t="shared" si="32"/>
        <v>0</v>
      </c>
      <c r="W119" s="19">
        <f t="shared" si="33"/>
        <v>267.96205820573709</v>
      </c>
      <c r="X119" s="23">
        <f t="shared" si="34"/>
        <v>1182.5080582057371</v>
      </c>
      <c r="Y119" s="22">
        <f>(1/(2*LOG(3.7*$I119/'Calculation Constants'!$B$3*1000)))^2</f>
        <v>9.4904462912918219E-3</v>
      </c>
      <c r="Z119" s="19">
        <f t="shared" si="35"/>
        <v>0.50734754464280807</v>
      </c>
      <c r="AA119" s="19">
        <f>IF($H119&gt;0,'Calculation Constants'!$B$9*Hydraulics!$K119^2/2/9.81/MAX($F$4:$F$253)*$H119,"")</f>
        <v>3.5282785359788842E-2</v>
      </c>
      <c r="AB119" s="19">
        <f t="shared" si="54"/>
        <v>0.54263033000259686</v>
      </c>
      <c r="AC119" s="19">
        <f t="shared" si="36"/>
        <v>0</v>
      </c>
      <c r="AD119" s="19">
        <f t="shared" si="47"/>
        <v>267.85273933999474</v>
      </c>
      <c r="AE119" s="23">
        <f t="shared" si="37"/>
        <v>1182.3987393399948</v>
      </c>
      <c r="AF119" s="27">
        <f>(1/(2*LOG(3.7*$I119/'Calculation Constants'!$B$4*1000)))^2</f>
        <v>1.1152845500629007E-2</v>
      </c>
      <c r="AG119" s="19">
        <f t="shared" si="38"/>
        <v>0.59621735446906032</v>
      </c>
      <c r="AH119" s="19">
        <f>IF($H119&gt;0,'Calculation Constants'!$B$9*Hydraulics!$K119^2/2/9.81/MAX($F$4:$F$253)*$H119,"")</f>
        <v>3.5282785359788842E-2</v>
      </c>
      <c r="AI119" s="19">
        <f t="shared" si="48"/>
        <v>0.63150013982884912</v>
      </c>
      <c r="AJ119" s="19">
        <f t="shared" si="39"/>
        <v>0</v>
      </c>
      <c r="AK119" s="19">
        <f t="shared" si="49"/>
        <v>267.67499972034216</v>
      </c>
      <c r="AL119" s="23">
        <f t="shared" si="40"/>
        <v>1182.2209997203422</v>
      </c>
      <c r="AM119" s="22">
        <f>(1/(2*LOG(3.7*($I119-0.008)/'Calculation Constants'!$B$5*1000)))^2</f>
        <v>1.4104604303736145E-2</v>
      </c>
      <c r="AN119" s="19">
        <f t="shared" si="50"/>
        <v>0.75676661531854661</v>
      </c>
      <c r="AO119" s="19">
        <f>IF($H119&gt;0,'Calculation Constants'!$B$9*Hydraulics!$K119^2/2/9.81/MAX($F$4:$F$253)*$H119,"")</f>
        <v>3.5282785359788842E-2</v>
      </c>
      <c r="AP119" s="19">
        <f t="shared" si="51"/>
        <v>0.7920494006783354</v>
      </c>
      <c r="AQ119" s="19">
        <f t="shared" si="41"/>
        <v>0</v>
      </c>
      <c r="AR119" s="19">
        <f t="shared" si="52"/>
        <v>267.35390119864337</v>
      </c>
      <c r="AS119" s="23">
        <f t="shared" si="42"/>
        <v>1181.8999011986434</v>
      </c>
    </row>
    <row r="120" spans="5:45">
      <c r="E120" s="35" t="str">
        <f t="shared" si="28"/>
        <v/>
      </c>
      <c r="F120" s="19">
        <f>'Profile data'!A120</f>
        <v>234</v>
      </c>
      <c r="G120" s="19">
        <f>VLOOKUP(F120,'Profile data'!A120:C379,IF($B$22="Botswana 1",2,3))</f>
        <v>918.28499999999997</v>
      </c>
      <c r="H120" s="19">
        <f t="shared" si="53"/>
        <v>2</v>
      </c>
      <c r="I120" s="19">
        <v>2.2000000000000002</v>
      </c>
      <c r="J120" s="36">
        <f>'Flow Rate Calculations'!$B$7</f>
        <v>4.0831050228310497</v>
      </c>
      <c r="K120" s="36">
        <f t="shared" si="43"/>
        <v>1.0741261942924094</v>
      </c>
      <c r="L120" s="37">
        <f>$I120*$K120/'Calculation Constants'!$B$7</f>
        <v>2091219.139330355</v>
      </c>
      <c r="M120" s="37" t="str">
        <f t="shared" si="29"/>
        <v>Greater Dynamic Pressures</v>
      </c>
      <c r="N120" s="23">
        <f t="shared" si="44"/>
        <v>263.73508730860578</v>
      </c>
      <c r="O120" s="55">
        <f t="shared" si="30"/>
        <v>263.57110900999226</v>
      </c>
      <c r="P120" s="64">
        <f>MAX(I120*1000/'Calculation Constants'!$B$14,O120*10*I120*1000/2/('Calculation Constants'!$B$12*1000*'Calculation Constants'!$B$13))</f>
        <v>19.328547994066099</v>
      </c>
      <c r="Q120" s="66">
        <f t="shared" si="31"/>
        <v>2078925.820363251</v>
      </c>
      <c r="R120" s="27">
        <f>(1/(2*LOG(3.7*$I120/'Calculation Constants'!$B$2*1000)))^2</f>
        <v>8.4679866037394684E-3</v>
      </c>
      <c r="S120" s="19">
        <f t="shared" si="45"/>
        <v>0.45268811177167712</v>
      </c>
      <c r="T120" s="19">
        <f>IF($H120&gt;0,'Calculation Constants'!$B$9*Hydraulics!$K120^2/2/9.81/MAX($F$4:$F$253)*$H120,"")</f>
        <v>3.5282785359788842E-2</v>
      </c>
      <c r="U120" s="19">
        <f t="shared" si="46"/>
        <v>0.48797089713146596</v>
      </c>
      <c r="V120" s="19">
        <f t="shared" si="32"/>
        <v>0</v>
      </c>
      <c r="W120" s="19">
        <f t="shared" si="33"/>
        <v>263.73508730860578</v>
      </c>
      <c r="X120" s="23">
        <f t="shared" si="34"/>
        <v>1182.0200873086058</v>
      </c>
      <c r="Y120" s="22">
        <f>(1/(2*LOG(3.7*$I120/'Calculation Constants'!$B$3*1000)))^2</f>
        <v>9.4904462912918219E-3</v>
      </c>
      <c r="Z120" s="19">
        <f t="shared" si="35"/>
        <v>0.50734754464280807</v>
      </c>
      <c r="AA120" s="19">
        <f>IF($H120&gt;0,'Calculation Constants'!$B$9*Hydraulics!$K120^2/2/9.81/MAX($F$4:$F$253)*$H120,"")</f>
        <v>3.5282785359788842E-2</v>
      </c>
      <c r="AB120" s="19">
        <f t="shared" si="54"/>
        <v>0.54263033000259686</v>
      </c>
      <c r="AC120" s="19">
        <f t="shared" si="36"/>
        <v>0</v>
      </c>
      <c r="AD120" s="19">
        <f t="shared" si="47"/>
        <v>263.57110900999226</v>
      </c>
      <c r="AE120" s="23">
        <f t="shared" si="37"/>
        <v>1181.8561090099922</v>
      </c>
      <c r="AF120" s="27">
        <f>(1/(2*LOG(3.7*$I120/'Calculation Constants'!$B$4*1000)))^2</f>
        <v>1.1152845500629007E-2</v>
      </c>
      <c r="AG120" s="19">
        <f t="shared" si="38"/>
        <v>0.59621735446906032</v>
      </c>
      <c r="AH120" s="19">
        <f>IF($H120&gt;0,'Calculation Constants'!$B$9*Hydraulics!$K120^2/2/9.81/MAX($F$4:$F$253)*$H120,"")</f>
        <v>3.5282785359788842E-2</v>
      </c>
      <c r="AI120" s="19">
        <f t="shared" si="48"/>
        <v>0.63150013982884912</v>
      </c>
      <c r="AJ120" s="19">
        <f t="shared" si="39"/>
        <v>0</v>
      </c>
      <c r="AK120" s="19">
        <f t="shared" si="49"/>
        <v>263.30449958051338</v>
      </c>
      <c r="AL120" s="23">
        <f t="shared" si="40"/>
        <v>1181.5894995805133</v>
      </c>
      <c r="AM120" s="22">
        <f>(1/(2*LOG(3.7*($I120-0.008)/'Calculation Constants'!$B$5*1000)))^2</f>
        <v>1.4104604303736145E-2</v>
      </c>
      <c r="AN120" s="19">
        <f t="shared" si="50"/>
        <v>0.75676661531854661</v>
      </c>
      <c r="AO120" s="19">
        <f>IF($H120&gt;0,'Calculation Constants'!$B$9*Hydraulics!$K120^2/2/9.81/MAX($F$4:$F$253)*$H120,"")</f>
        <v>3.5282785359788842E-2</v>
      </c>
      <c r="AP120" s="19">
        <f t="shared" si="51"/>
        <v>0.7920494006783354</v>
      </c>
      <c r="AQ120" s="19">
        <f t="shared" si="41"/>
        <v>0</v>
      </c>
      <c r="AR120" s="19">
        <f t="shared" si="52"/>
        <v>262.8228517979652</v>
      </c>
      <c r="AS120" s="23">
        <f t="shared" si="42"/>
        <v>1181.1078517979652</v>
      </c>
    </row>
    <row r="121" spans="5:45">
      <c r="E121" s="35" t="str">
        <f t="shared" si="28"/>
        <v/>
      </c>
      <c r="F121" s="19">
        <f>'Profile data'!A121</f>
        <v>236</v>
      </c>
      <c r="G121" s="19">
        <f>VLOOKUP(F121,'Profile data'!A121:C380,IF($B$22="Botswana 1",2,3))</f>
        <v>919.35699999999997</v>
      </c>
      <c r="H121" s="19">
        <f t="shared" si="53"/>
        <v>2</v>
      </c>
      <c r="I121" s="19">
        <v>2.2000000000000002</v>
      </c>
      <c r="J121" s="36">
        <f>'Flow Rate Calculations'!$B$7</f>
        <v>4.0831050228310497</v>
      </c>
      <c r="K121" s="36">
        <f t="shared" si="43"/>
        <v>1.0741261942924094</v>
      </c>
      <c r="L121" s="37">
        <f>$I121*$K121/'Calculation Constants'!$B$7</f>
        <v>2091219.139330355</v>
      </c>
      <c r="M121" s="37" t="str">
        <f t="shared" si="29"/>
        <v>Greater Dynamic Pressures</v>
      </c>
      <c r="N121" s="23">
        <f t="shared" si="44"/>
        <v>262.17511641147439</v>
      </c>
      <c r="O121" s="55">
        <f t="shared" si="30"/>
        <v>261.95647867998969</v>
      </c>
      <c r="P121" s="64">
        <f>MAX(I121*1000/'Calculation Constants'!$B$14,O121*10*I121*1000/2/('Calculation Constants'!$B$12*1000*'Calculation Constants'!$B$13))</f>
        <v>19.210141769865913</v>
      </c>
      <c r="Q121" s="66">
        <f t="shared" si="31"/>
        <v>2066302.5604751634</v>
      </c>
      <c r="R121" s="27">
        <f>(1/(2*LOG(3.7*$I121/'Calculation Constants'!$B$2*1000)))^2</f>
        <v>8.4679866037394684E-3</v>
      </c>
      <c r="S121" s="19">
        <f t="shared" si="45"/>
        <v>0.45268811177167712</v>
      </c>
      <c r="T121" s="19">
        <f>IF($H121&gt;0,'Calculation Constants'!$B$9*Hydraulics!$K121^2/2/9.81/MAX($F$4:$F$253)*$H121,"")</f>
        <v>3.5282785359788842E-2</v>
      </c>
      <c r="U121" s="19">
        <f t="shared" si="46"/>
        <v>0.48797089713146596</v>
      </c>
      <c r="V121" s="19">
        <f t="shared" si="32"/>
        <v>0</v>
      </c>
      <c r="W121" s="19">
        <f t="shared" si="33"/>
        <v>262.17511641147439</v>
      </c>
      <c r="X121" s="23">
        <f t="shared" si="34"/>
        <v>1181.5321164114744</v>
      </c>
      <c r="Y121" s="22">
        <f>(1/(2*LOG(3.7*$I121/'Calculation Constants'!$B$3*1000)))^2</f>
        <v>9.4904462912918219E-3</v>
      </c>
      <c r="Z121" s="19">
        <f t="shared" si="35"/>
        <v>0.50734754464280807</v>
      </c>
      <c r="AA121" s="19">
        <f>IF($H121&gt;0,'Calculation Constants'!$B$9*Hydraulics!$K121^2/2/9.81/MAX($F$4:$F$253)*$H121,"")</f>
        <v>3.5282785359788842E-2</v>
      </c>
      <c r="AB121" s="19">
        <f t="shared" si="54"/>
        <v>0.54263033000259686</v>
      </c>
      <c r="AC121" s="19">
        <f t="shared" si="36"/>
        <v>0</v>
      </c>
      <c r="AD121" s="19">
        <f t="shared" si="47"/>
        <v>261.95647867998969</v>
      </c>
      <c r="AE121" s="23">
        <f t="shared" si="37"/>
        <v>1181.3134786799897</v>
      </c>
      <c r="AF121" s="27">
        <f>(1/(2*LOG(3.7*$I121/'Calculation Constants'!$B$4*1000)))^2</f>
        <v>1.1152845500629007E-2</v>
      </c>
      <c r="AG121" s="19">
        <f t="shared" si="38"/>
        <v>0.59621735446906032</v>
      </c>
      <c r="AH121" s="19">
        <f>IF($H121&gt;0,'Calculation Constants'!$B$9*Hydraulics!$K121^2/2/9.81/MAX($F$4:$F$253)*$H121,"")</f>
        <v>3.5282785359788842E-2</v>
      </c>
      <c r="AI121" s="19">
        <f t="shared" si="48"/>
        <v>0.63150013982884912</v>
      </c>
      <c r="AJ121" s="19">
        <f t="shared" si="39"/>
        <v>0</v>
      </c>
      <c r="AK121" s="19">
        <f t="shared" si="49"/>
        <v>261.60099944068452</v>
      </c>
      <c r="AL121" s="23">
        <f t="shared" si="40"/>
        <v>1180.9579994406845</v>
      </c>
      <c r="AM121" s="22">
        <f>(1/(2*LOG(3.7*($I121-0.008)/'Calculation Constants'!$B$5*1000)))^2</f>
        <v>1.4104604303736145E-2</v>
      </c>
      <c r="AN121" s="19">
        <f t="shared" si="50"/>
        <v>0.75676661531854661</v>
      </c>
      <c r="AO121" s="19">
        <f>IF($H121&gt;0,'Calculation Constants'!$B$9*Hydraulics!$K121^2/2/9.81/MAX($F$4:$F$253)*$H121,"")</f>
        <v>3.5282785359788842E-2</v>
      </c>
      <c r="AP121" s="19">
        <f t="shared" si="51"/>
        <v>0.7920494006783354</v>
      </c>
      <c r="AQ121" s="19">
        <f t="shared" si="41"/>
        <v>0</v>
      </c>
      <c r="AR121" s="19">
        <f t="shared" si="52"/>
        <v>260.95880239728695</v>
      </c>
      <c r="AS121" s="23">
        <f t="shared" si="42"/>
        <v>1180.3158023972869</v>
      </c>
    </row>
    <row r="122" spans="5:45">
      <c r="E122" s="35" t="str">
        <f t="shared" si="28"/>
        <v/>
      </c>
      <c r="F122" s="19">
        <f>'Profile data'!A122</f>
        <v>238</v>
      </c>
      <c r="G122" s="19">
        <f>VLOOKUP(F122,'Profile data'!A122:C381,IF($B$22="Botswana 1",2,3))</f>
        <v>918.649</v>
      </c>
      <c r="H122" s="19">
        <f t="shared" si="53"/>
        <v>2</v>
      </c>
      <c r="I122" s="19">
        <v>2.2000000000000002</v>
      </c>
      <c r="J122" s="36">
        <f>'Flow Rate Calculations'!$B$7</f>
        <v>4.0831050228310497</v>
      </c>
      <c r="K122" s="36">
        <f t="shared" si="43"/>
        <v>1.0741261942924094</v>
      </c>
      <c r="L122" s="37">
        <f>$I122*$K122/'Calculation Constants'!$B$7</f>
        <v>2091219.139330355</v>
      </c>
      <c r="M122" s="37" t="str">
        <f t="shared" si="29"/>
        <v>Greater Dynamic Pressures</v>
      </c>
      <c r="N122" s="23">
        <f t="shared" si="44"/>
        <v>262.39514551434297</v>
      </c>
      <c r="O122" s="55">
        <f t="shared" si="30"/>
        <v>262.12184834998709</v>
      </c>
      <c r="P122" s="64">
        <f>MAX(I122*1000/'Calculation Constants'!$B$14,O122*10*I122*1000/2/('Calculation Constants'!$B$12*1000*'Calculation Constants'!$B$13))</f>
        <v>19.222268878999053</v>
      </c>
      <c r="Q122" s="66">
        <f t="shared" si="31"/>
        <v>2067595.4923158742</v>
      </c>
      <c r="R122" s="27">
        <f>(1/(2*LOG(3.7*$I122/'Calculation Constants'!$B$2*1000)))^2</f>
        <v>8.4679866037394684E-3</v>
      </c>
      <c r="S122" s="19">
        <f t="shared" si="45"/>
        <v>0.45268811177167712</v>
      </c>
      <c r="T122" s="19">
        <f>IF($H122&gt;0,'Calculation Constants'!$B$9*Hydraulics!$K122^2/2/9.81/MAX($F$4:$F$253)*$H122,"")</f>
        <v>3.5282785359788842E-2</v>
      </c>
      <c r="U122" s="19">
        <f t="shared" si="46"/>
        <v>0.48797089713146596</v>
      </c>
      <c r="V122" s="19">
        <f t="shared" si="32"/>
        <v>0</v>
      </c>
      <c r="W122" s="19">
        <f t="shared" si="33"/>
        <v>262.39514551434297</v>
      </c>
      <c r="X122" s="23">
        <f t="shared" si="34"/>
        <v>1181.044145514343</v>
      </c>
      <c r="Y122" s="22">
        <f>(1/(2*LOG(3.7*$I122/'Calculation Constants'!$B$3*1000)))^2</f>
        <v>9.4904462912918219E-3</v>
      </c>
      <c r="Z122" s="19">
        <f t="shared" si="35"/>
        <v>0.50734754464280807</v>
      </c>
      <c r="AA122" s="19">
        <f>IF($H122&gt;0,'Calculation Constants'!$B$9*Hydraulics!$K122^2/2/9.81/MAX($F$4:$F$253)*$H122,"")</f>
        <v>3.5282785359788842E-2</v>
      </c>
      <c r="AB122" s="19">
        <f t="shared" si="54"/>
        <v>0.54263033000259686</v>
      </c>
      <c r="AC122" s="19">
        <f t="shared" si="36"/>
        <v>0</v>
      </c>
      <c r="AD122" s="19">
        <f t="shared" si="47"/>
        <v>262.12184834998709</v>
      </c>
      <c r="AE122" s="23">
        <f t="shared" si="37"/>
        <v>1180.7708483499871</v>
      </c>
      <c r="AF122" s="27">
        <f>(1/(2*LOG(3.7*$I122/'Calculation Constants'!$B$4*1000)))^2</f>
        <v>1.1152845500629007E-2</v>
      </c>
      <c r="AG122" s="19">
        <f t="shared" si="38"/>
        <v>0.59621735446906032</v>
      </c>
      <c r="AH122" s="19">
        <f>IF($H122&gt;0,'Calculation Constants'!$B$9*Hydraulics!$K122^2/2/9.81/MAX($F$4:$F$253)*$H122,"")</f>
        <v>3.5282785359788842E-2</v>
      </c>
      <c r="AI122" s="19">
        <f t="shared" si="48"/>
        <v>0.63150013982884912</v>
      </c>
      <c r="AJ122" s="19">
        <f t="shared" si="39"/>
        <v>0</v>
      </c>
      <c r="AK122" s="19">
        <f t="shared" si="49"/>
        <v>261.67749930085563</v>
      </c>
      <c r="AL122" s="23">
        <f t="shared" si="40"/>
        <v>1180.3264993008556</v>
      </c>
      <c r="AM122" s="22">
        <f>(1/(2*LOG(3.7*($I122-0.008)/'Calculation Constants'!$B$5*1000)))^2</f>
        <v>1.4104604303736145E-2</v>
      </c>
      <c r="AN122" s="19">
        <f t="shared" si="50"/>
        <v>0.75676661531854661</v>
      </c>
      <c r="AO122" s="19">
        <f>IF($H122&gt;0,'Calculation Constants'!$B$9*Hydraulics!$K122^2/2/9.81/MAX($F$4:$F$253)*$H122,"")</f>
        <v>3.5282785359788842E-2</v>
      </c>
      <c r="AP122" s="19">
        <f t="shared" si="51"/>
        <v>0.7920494006783354</v>
      </c>
      <c r="AQ122" s="19">
        <f t="shared" si="41"/>
        <v>0</v>
      </c>
      <c r="AR122" s="19">
        <f t="shared" si="52"/>
        <v>260.87475299660866</v>
      </c>
      <c r="AS122" s="23">
        <f t="shared" si="42"/>
        <v>1179.5237529966087</v>
      </c>
    </row>
    <row r="123" spans="5:45">
      <c r="E123" s="35" t="str">
        <f t="shared" si="28"/>
        <v/>
      </c>
      <c r="F123" s="19">
        <f>'Profile data'!A123</f>
        <v>240</v>
      </c>
      <c r="G123" s="19">
        <f>VLOOKUP(F123,'Profile data'!A123:C382,IF($B$22="Botswana 1",2,3))</f>
        <v>922.97400000000005</v>
      </c>
      <c r="H123" s="19">
        <f t="shared" si="53"/>
        <v>2</v>
      </c>
      <c r="I123" s="19">
        <v>2.2000000000000002</v>
      </c>
      <c r="J123" s="36">
        <f>'Flow Rate Calculations'!$B$7</f>
        <v>4.0831050228310497</v>
      </c>
      <c r="K123" s="36">
        <f t="shared" si="43"/>
        <v>1.0741261942924094</v>
      </c>
      <c r="L123" s="37">
        <f>$I123*$K123/'Calculation Constants'!$B$7</f>
        <v>2091219.139330355</v>
      </c>
      <c r="M123" s="37" t="str">
        <f t="shared" si="29"/>
        <v>Greater Dynamic Pressures</v>
      </c>
      <c r="N123" s="23">
        <f t="shared" si="44"/>
        <v>257.58217461721154</v>
      </c>
      <c r="O123" s="55">
        <f t="shared" si="30"/>
        <v>257.25421801998448</v>
      </c>
      <c r="P123" s="64">
        <f>MAX(I123*1000/'Calculation Constants'!$B$14,O123*10*I123*1000/2/('Calculation Constants'!$B$12*1000*'Calculation Constants'!$B$13))</f>
        <v>18.865309321465528</v>
      </c>
      <c r="Q123" s="66">
        <f t="shared" si="31"/>
        <v>2029532.1749021492</v>
      </c>
      <c r="R123" s="27">
        <f>(1/(2*LOG(3.7*$I123/'Calculation Constants'!$B$2*1000)))^2</f>
        <v>8.4679866037394684E-3</v>
      </c>
      <c r="S123" s="19">
        <f t="shared" si="45"/>
        <v>0.45268811177167712</v>
      </c>
      <c r="T123" s="19">
        <f>IF($H123&gt;0,'Calculation Constants'!$B$9*Hydraulics!$K123^2/2/9.81/MAX($F$4:$F$253)*$H123,"")</f>
        <v>3.5282785359788842E-2</v>
      </c>
      <c r="U123" s="19">
        <f t="shared" si="46"/>
        <v>0.48797089713146596</v>
      </c>
      <c r="V123" s="19">
        <f t="shared" si="32"/>
        <v>0</v>
      </c>
      <c r="W123" s="19">
        <f t="shared" si="33"/>
        <v>257.58217461721154</v>
      </c>
      <c r="X123" s="23">
        <f t="shared" si="34"/>
        <v>1180.5561746172116</v>
      </c>
      <c r="Y123" s="22">
        <f>(1/(2*LOG(3.7*$I123/'Calculation Constants'!$B$3*1000)))^2</f>
        <v>9.4904462912918219E-3</v>
      </c>
      <c r="Z123" s="19">
        <f t="shared" si="35"/>
        <v>0.50734754464280807</v>
      </c>
      <c r="AA123" s="19">
        <f>IF($H123&gt;0,'Calculation Constants'!$B$9*Hydraulics!$K123^2/2/9.81/MAX($F$4:$F$253)*$H123,"")</f>
        <v>3.5282785359788842E-2</v>
      </c>
      <c r="AB123" s="19">
        <f t="shared" si="54"/>
        <v>0.54263033000259686</v>
      </c>
      <c r="AC123" s="19">
        <f t="shared" si="36"/>
        <v>0</v>
      </c>
      <c r="AD123" s="19">
        <f t="shared" si="47"/>
        <v>257.25421801998448</v>
      </c>
      <c r="AE123" s="23">
        <f t="shared" si="37"/>
        <v>1180.2282180199845</v>
      </c>
      <c r="AF123" s="27">
        <f>(1/(2*LOG(3.7*$I123/'Calculation Constants'!$B$4*1000)))^2</f>
        <v>1.1152845500629007E-2</v>
      </c>
      <c r="AG123" s="19">
        <f t="shared" si="38"/>
        <v>0.59621735446906032</v>
      </c>
      <c r="AH123" s="19">
        <f>IF($H123&gt;0,'Calculation Constants'!$B$9*Hydraulics!$K123^2/2/9.81/MAX($F$4:$F$253)*$H123,"")</f>
        <v>3.5282785359788842E-2</v>
      </c>
      <c r="AI123" s="19">
        <f t="shared" si="48"/>
        <v>0.63150013982884912</v>
      </c>
      <c r="AJ123" s="19">
        <f t="shared" si="39"/>
        <v>0</v>
      </c>
      <c r="AK123" s="19">
        <f t="shared" si="49"/>
        <v>256.72099916102673</v>
      </c>
      <c r="AL123" s="23">
        <f t="shared" si="40"/>
        <v>1179.6949991610268</v>
      </c>
      <c r="AM123" s="22">
        <f>(1/(2*LOG(3.7*($I123-0.008)/'Calculation Constants'!$B$5*1000)))^2</f>
        <v>1.4104604303736145E-2</v>
      </c>
      <c r="AN123" s="19">
        <f t="shared" si="50"/>
        <v>0.75676661531854661</v>
      </c>
      <c r="AO123" s="19">
        <f>IF($H123&gt;0,'Calculation Constants'!$B$9*Hydraulics!$K123^2/2/9.81/MAX($F$4:$F$253)*$H123,"")</f>
        <v>3.5282785359788842E-2</v>
      </c>
      <c r="AP123" s="19">
        <f t="shared" si="51"/>
        <v>0.7920494006783354</v>
      </c>
      <c r="AQ123" s="19">
        <f t="shared" si="41"/>
        <v>0</v>
      </c>
      <c r="AR123" s="19">
        <f t="shared" si="52"/>
        <v>255.75770359593037</v>
      </c>
      <c r="AS123" s="23">
        <f t="shared" si="42"/>
        <v>1178.7317035959304</v>
      </c>
    </row>
    <row r="124" spans="5:45">
      <c r="E124" s="35" t="str">
        <f t="shared" si="28"/>
        <v/>
      </c>
      <c r="F124" s="19">
        <f>'Profile data'!A124</f>
        <v>242</v>
      </c>
      <c r="G124" s="19">
        <f>VLOOKUP(F124,'Profile data'!A124:C383,IF($B$22="Botswana 1",2,3))</f>
        <v>927.375</v>
      </c>
      <c r="H124" s="19">
        <f t="shared" si="53"/>
        <v>2</v>
      </c>
      <c r="I124" s="19">
        <v>2.2000000000000002</v>
      </c>
      <c r="J124" s="36">
        <f>'Flow Rate Calculations'!$B$7</f>
        <v>4.0831050228310497</v>
      </c>
      <c r="K124" s="36">
        <f t="shared" si="43"/>
        <v>1.0741261942924094</v>
      </c>
      <c r="L124" s="37">
        <f>$I124*$K124/'Calculation Constants'!$B$7</f>
        <v>2091219.139330355</v>
      </c>
      <c r="M124" s="37" t="str">
        <f t="shared" si="29"/>
        <v>Greater Dynamic Pressures</v>
      </c>
      <c r="N124" s="23">
        <f t="shared" si="44"/>
        <v>252.69320372008019</v>
      </c>
      <c r="O124" s="55">
        <f t="shared" si="30"/>
        <v>252.31058768998196</v>
      </c>
      <c r="P124" s="64">
        <f>MAX(I124*1000/'Calculation Constants'!$B$14,O124*10*I124*1000/2/('Calculation Constants'!$B$12*1000*'Calculation Constants'!$B$13))</f>
        <v>18.502776430598676</v>
      </c>
      <c r="Q124" s="66">
        <f t="shared" si="31"/>
        <v>1990861.6963201039</v>
      </c>
      <c r="R124" s="27">
        <f>(1/(2*LOG(3.7*$I124/'Calculation Constants'!$B$2*1000)))^2</f>
        <v>8.4679866037394684E-3</v>
      </c>
      <c r="S124" s="19">
        <f t="shared" si="45"/>
        <v>0.45268811177167712</v>
      </c>
      <c r="T124" s="19">
        <f>IF($H124&gt;0,'Calculation Constants'!$B$9*Hydraulics!$K124^2/2/9.81/MAX($F$4:$F$253)*$H124,"")</f>
        <v>3.5282785359788842E-2</v>
      </c>
      <c r="U124" s="19">
        <f t="shared" si="46"/>
        <v>0.48797089713146596</v>
      </c>
      <c r="V124" s="19">
        <f t="shared" si="32"/>
        <v>0</v>
      </c>
      <c r="W124" s="19">
        <f t="shared" si="33"/>
        <v>252.69320372008019</v>
      </c>
      <c r="X124" s="23">
        <f t="shared" si="34"/>
        <v>1180.0682037200802</v>
      </c>
      <c r="Y124" s="22">
        <f>(1/(2*LOG(3.7*$I124/'Calculation Constants'!$B$3*1000)))^2</f>
        <v>9.4904462912918219E-3</v>
      </c>
      <c r="Z124" s="19">
        <f t="shared" si="35"/>
        <v>0.50734754464280807</v>
      </c>
      <c r="AA124" s="19">
        <f>IF($H124&gt;0,'Calculation Constants'!$B$9*Hydraulics!$K124^2/2/9.81/MAX($F$4:$F$253)*$H124,"")</f>
        <v>3.5282785359788842E-2</v>
      </c>
      <c r="AB124" s="19">
        <f t="shared" si="54"/>
        <v>0.54263033000259686</v>
      </c>
      <c r="AC124" s="19">
        <f t="shared" si="36"/>
        <v>0</v>
      </c>
      <c r="AD124" s="19">
        <f t="shared" si="47"/>
        <v>252.31058768998196</v>
      </c>
      <c r="AE124" s="23">
        <f t="shared" si="37"/>
        <v>1179.685587689982</v>
      </c>
      <c r="AF124" s="27">
        <f>(1/(2*LOG(3.7*$I124/'Calculation Constants'!$B$4*1000)))^2</f>
        <v>1.1152845500629007E-2</v>
      </c>
      <c r="AG124" s="19">
        <f t="shared" si="38"/>
        <v>0.59621735446906032</v>
      </c>
      <c r="AH124" s="19">
        <f>IF($H124&gt;0,'Calculation Constants'!$B$9*Hydraulics!$K124^2/2/9.81/MAX($F$4:$F$253)*$H124,"")</f>
        <v>3.5282785359788842E-2</v>
      </c>
      <c r="AI124" s="19">
        <f t="shared" si="48"/>
        <v>0.63150013982884912</v>
      </c>
      <c r="AJ124" s="19">
        <f t="shared" si="39"/>
        <v>0</v>
      </c>
      <c r="AK124" s="19">
        <f t="shared" si="49"/>
        <v>251.68849902119791</v>
      </c>
      <c r="AL124" s="23">
        <f t="shared" si="40"/>
        <v>1179.0634990211979</v>
      </c>
      <c r="AM124" s="22">
        <f>(1/(2*LOG(3.7*($I124-0.008)/'Calculation Constants'!$B$5*1000)))^2</f>
        <v>1.4104604303736145E-2</v>
      </c>
      <c r="AN124" s="19">
        <f t="shared" si="50"/>
        <v>0.75676661531854661</v>
      </c>
      <c r="AO124" s="19">
        <f>IF($H124&gt;0,'Calculation Constants'!$B$9*Hydraulics!$K124^2/2/9.81/MAX($F$4:$F$253)*$H124,"")</f>
        <v>3.5282785359788842E-2</v>
      </c>
      <c r="AP124" s="19">
        <f t="shared" si="51"/>
        <v>0.7920494006783354</v>
      </c>
      <c r="AQ124" s="19">
        <f t="shared" si="41"/>
        <v>0</v>
      </c>
      <c r="AR124" s="19">
        <f t="shared" si="52"/>
        <v>250.56465419525216</v>
      </c>
      <c r="AS124" s="23">
        <f t="shared" si="42"/>
        <v>1177.9396541952522</v>
      </c>
    </row>
    <row r="125" spans="5:45">
      <c r="E125" s="35" t="str">
        <f t="shared" si="28"/>
        <v/>
      </c>
      <c r="F125" s="19">
        <f>'Profile data'!A125</f>
        <v>244</v>
      </c>
      <c r="G125" s="19">
        <f>VLOOKUP(F125,'Profile data'!A125:C384,IF($B$22="Botswana 1",2,3))</f>
        <v>929.25300000000004</v>
      </c>
      <c r="H125" s="19">
        <f t="shared" si="53"/>
        <v>2</v>
      </c>
      <c r="I125" s="19">
        <v>2.2000000000000002</v>
      </c>
      <c r="J125" s="36">
        <f>'Flow Rate Calculations'!$B$7</f>
        <v>4.0831050228310497</v>
      </c>
      <c r="K125" s="36">
        <f t="shared" si="43"/>
        <v>1.0741261942924094</v>
      </c>
      <c r="L125" s="37">
        <f>$I125*$K125/'Calculation Constants'!$B$7</f>
        <v>2091219.139330355</v>
      </c>
      <c r="M125" s="37" t="str">
        <f t="shared" si="29"/>
        <v>Greater Dynamic Pressures</v>
      </c>
      <c r="N125" s="23">
        <f t="shared" si="44"/>
        <v>250.32723282294876</v>
      </c>
      <c r="O125" s="55">
        <f t="shared" si="30"/>
        <v>249.88995735997935</v>
      </c>
      <c r="P125" s="64">
        <f>MAX(I125*1000/'Calculation Constants'!$B$14,O125*10*I125*1000/2/('Calculation Constants'!$B$12*1000*'Calculation Constants'!$B$13))</f>
        <v>18.325263539731818</v>
      </c>
      <c r="Q125" s="66">
        <f t="shared" si="31"/>
        <v>1971922.1109715903</v>
      </c>
      <c r="R125" s="27">
        <f>(1/(2*LOG(3.7*$I125/'Calculation Constants'!$B$2*1000)))^2</f>
        <v>8.4679866037394684E-3</v>
      </c>
      <c r="S125" s="19">
        <f t="shared" si="45"/>
        <v>0.45268811177167712</v>
      </c>
      <c r="T125" s="19">
        <f>IF($H125&gt;0,'Calculation Constants'!$B$9*Hydraulics!$K125^2/2/9.81/MAX($F$4:$F$253)*$H125,"")</f>
        <v>3.5282785359788842E-2</v>
      </c>
      <c r="U125" s="19">
        <f t="shared" si="46"/>
        <v>0.48797089713146596</v>
      </c>
      <c r="V125" s="19">
        <f t="shared" si="32"/>
        <v>0</v>
      </c>
      <c r="W125" s="19">
        <f t="shared" si="33"/>
        <v>250.32723282294876</v>
      </c>
      <c r="X125" s="23">
        <f t="shared" si="34"/>
        <v>1179.5802328229488</v>
      </c>
      <c r="Y125" s="22">
        <f>(1/(2*LOG(3.7*$I125/'Calculation Constants'!$B$3*1000)))^2</f>
        <v>9.4904462912918219E-3</v>
      </c>
      <c r="Z125" s="19">
        <f t="shared" si="35"/>
        <v>0.50734754464280807</v>
      </c>
      <c r="AA125" s="19">
        <f>IF($H125&gt;0,'Calculation Constants'!$B$9*Hydraulics!$K125^2/2/9.81/MAX($F$4:$F$253)*$H125,"")</f>
        <v>3.5282785359788842E-2</v>
      </c>
      <c r="AB125" s="19">
        <f t="shared" si="54"/>
        <v>0.54263033000259686</v>
      </c>
      <c r="AC125" s="19">
        <f t="shared" si="36"/>
        <v>0</v>
      </c>
      <c r="AD125" s="19">
        <f t="shared" si="47"/>
        <v>249.88995735997935</v>
      </c>
      <c r="AE125" s="23">
        <f t="shared" si="37"/>
        <v>1179.1429573599794</v>
      </c>
      <c r="AF125" s="27">
        <f>(1/(2*LOG(3.7*$I125/'Calculation Constants'!$B$4*1000)))^2</f>
        <v>1.1152845500629007E-2</v>
      </c>
      <c r="AG125" s="19">
        <f t="shared" si="38"/>
        <v>0.59621735446906032</v>
      </c>
      <c r="AH125" s="19">
        <f>IF($H125&gt;0,'Calculation Constants'!$B$9*Hydraulics!$K125^2/2/9.81/MAX($F$4:$F$253)*$H125,"")</f>
        <v>3.5282785359788842E-2</v>
      </c>
      <c r="AI125" s="19">
        <f t="shared" si="48"/>
        <v>0.63150013982884912</v>
      </c>
      <c r="AJ125" s="19">
        <f t="shared" si="39"/>
        <v>0</v>
      </c>
      <c r="AK125" s="19">
        <f t="shared" si="49"/>
        <v>249.17899888136901</v>
      </c>
      <c r="AL125" s="23">
        <f t="shared" si="40"/>
        <v>1178.4319988813691</v>
      </c>
      <c r="AM125" s="22">
        <f>(1/(2*LOG(3.7*($I125-0.008)/'Calculation Constants'!$B$5*1000)))^2</f>
        <v>1.4104604303736145E-2</v>
      </c>
      <c r="AN125" s="19">
        <f t="shared" si="50"/>
        <v>0.75676661531854661</v>
      </c>
      <c r="AO125" s="19">
        <f>IF($H125&gt;0,'Calculation Constants'!$B$9*Hydraulics!$K125^2/2/9.81/MAX($F$4:$F$253)*$H125,"")</f>
        <v>3.5282785359788842E-2</v>
      </c>
      <c r="AP125" s="19">
        <f t="shared" si="51"/>
        <v>0.7920494006783354</v>
      </c>
      <c r="AQ125" s="19">
        <f t="shared" si="41"/>
        <v>0</v>
      </c>
      <c r="AR125" s="19">
        <f t="shared" si="52"/>
        <v>247.89460479457387</v>
      </c>
      <c r="AS125" s="23">
        <f t="shared" si="42"/>
        <v>1177.1476047945739</v>
      </c>
    </row>
    <row r="126" spans="5:45">
      <c r="E126" s="35" t="str">
        <f t="shared" si="28"/>
        <v/>
      </c>
      <c r="F126" s="19">
        <f>'Profile data'!A126</f>
        <v>246</v>
      </c>
      <c r="G126" s="19">
        <f>VLOOKUP(F126,'Profile data'!A126:C385,IF($B$22="Botswana 1",2,3))</f>
        <v>930.86300000000006</v>
      </c>
      <c r="H126" s="19">
        <f t="shared" si="53"/>
        <v>2</v>
      </c>
      <c r="I126" s="19">
        <v>2.2000000000000002</v>
      </c>
      <c r="J126" s="36">
        <f>'Flow Rate Calculations'!$B$7</f>
        <v>4.0831050228310497</v>
      </c>
      <c r="K126" s="36">
        <f t="shared" si="43"/>
        <v>1.0741261942924094</v>
      </c>
      <c r="L126" s="37">
        <f>$I126*$K126/'Calculation Constants'!$B$7</f>
        <v>2091219.139330355</v>
      </c>
      <c r="M126" s="37" t="str">
        <f t="shared" si="29"/>
        <v>Greater Dynamic Pressures</v>
      </c>
      <c r="N126" s="23">
        <f t="shared" si="44"/>
        <v>248.22926192581735</v>
      </c>
      <c r="O126" s="55">
        <f t="shared" si="30"/>
        <v>247.73732702997677</v>
      </c>
      <c r="P126" s="64">
        <f>MAX(I126*1000/'Calculation Constants'!$B$14,O126*10*I126*1000/2/('Calculation Constants'!$B$12*1000*'Calculation Constants'!$B$13))</f>
        <v>18.167403982198298</v>
      </c>
      <c r="Q126" s="66">
        <f t="shared" si="31"/>
        <v>1955076.8098883578</v>
      </c>
      <c r="R126" s="27">
        <f>(1/(2*LOG(3.7*$I126/'Calculation Constants'!$B$2*1000)))^2</f>
        <v>8.4679866037394684E-3</v>
      </c>
      <c r="S126" s="19">
        <f t="shared" si="45"/>
        <v>0.45268811177167712</v>
      </c>
      <c r="T126" s="19">
        <f>IF($H126&gt;0,'Calculation Constants'!$B$9*Hydraulics!$K126^2/2/9.81/MAX($F$4:$F$253)*$H126,"")</f>
        <v>3.5282785359788842E-2</v>
      </c>
      <c r="U126" s="19">
        <f t="shared" si="46"/>
        <v>0.48797089713146596</v>
      </c>
      <c r="V126" s="19">
        <f t="shared" si="32"/>
        <v>0</v>
      </c>
      <c r="W126" s="19">
        <f t="shared" si="33"/>
        <v>248.22926192581735</v>
      </c>
      <c r="X126" s="23">
        <f t="shared" si="34"/>
        <v>1179.0922619258174</v>
      </c>
      <c r="Y126" s="22">
        <f>(1/(2*LOG(3.7*$I126/'Calculation Constants'!$B$3*1000)))^2</f>
        <v>9.4904462912918219E-3</v>
      </c>
      <c r="Z126" s="19">
        <f t="shared" si="35"/>
        <v>0.50734754464280807</v>
      </c>
      <c r="AA126" s="19">
        <f>IF($H126&gt;0,'Calculation Constants'!$B$9*Hydraulics!$K126^2/2/9.81/MAX($F$4:$F$253)*$H126,"")</f>
        <v>3.5282785359788842E-2</v>
      </c>
      <c r="AB126" s="19">
        <f t="shared" si="54"/>
        <v>0.54263033000259686</v>
      </c>
      <c r="AC126" s="19">
        <f t="shared" si="36"/>
        <v>0</v>
      </c>
      <c r="AD126" s="19">
        <f t="shared" si="47"/>
        <v>247.73732702997677</v>
      </c>
      <c r="AE126" s="23">
        <f t="shared" si="37"/>
        <v>1178.6003270299768</v>
      </c>
      <c r="AF126" s="27">
        <f>(1/(2*LOG(3.7*$I126/'Calculation Constants'!$B$4*1000)))^2</f>
        <v>1.1152845500629007E-2</v>
      </c>
      <c r="AG126" s="19">
        <f t="shared" si="38"/>
        <v>0.59621735446906032</v>
      </c>
      <c r="AH126" s="19">
        <f>IF($H126&gt;0,'Calculation Constants'!$B$9*Hydraulics!$K126^2/2/9.81/MAX($F$4:$F$253)*$H126,"")</f>
        <v>3.5282785359788842E-2</v>
      </c>
      <c r="AI126" s="19">
        <f t="shared" si="48"/>
        <v>0.63150013982884912</v>
      </c>
      <c r="AJ126" s="19">
        <f t="shared" si="39"/>
        <v>0</v>
      </c>
      <c r="AK126" s="19">
        <f t="shared" si="49"/>
        <v>246.93749874154014</v>
      </c>
      <c r="AL126" s="23">
        <f t="shared" si="40"/>
        <v>1177.8004987415402</v>
      </c>
      <c r="AM126" s="22">
        <f>(1/(2*LOG(3.7*($I126-0.008)/'Calculation Constants'!$B$5*1000)))^2</f>
        <v>1.4104604303736145E-2</v>
      </c>
      <c r="AN126" s="19">
        <f t="shared" si="50"/>
        <v>0.75676661531854661</v>
      </c>
      <c r="AO126" s="19">
        <f>IF($H126&gt;0,'Calculation Constants'!$B$9*Hydraulics!$K126^2/2/9.81/MAX($F$4:$F$253)*$H126,"")</f>
        <v>3.5282785359788842E-2</v>
      </c>
      <c r="AP126" s="19">
        <f t="shared" si="51"/>
        <v>0.7920494006783354</v>
      </c>
      <c r="AQ126" s="19">
        <f t="shared" si="41"/>
        <v>0</v>
      </c>
      <c r="AR126" s="19">
        <f t="shared" si="52"/>
        <v>245.4925553938956</v>
      </c>
      <c r="AS126" s="23">
        <f t="shared" si="42"/>
        <v>1176.3555553938957</v>
      </c>
    </row>
    <row r="127" spans="5:45">
      <c r="E127" s="35" t="str">
        <f t="shared" si="28"/>
        <v/>
      </c>
      <c r="F127" s="19">
        <f>'Profile data'!A127</f>
        <v>248</v>
      </c>
      <c r="G127" s="19">
        <f>VLOOKUP(F127,'Profile data'!A127:C386,IF($B$22="Botswana 1",2,3))</f>
        <v>931.92399999999998</v>
      </c>
      <c r="H127" s="19">
        <f t="shared" si="53"/>
        <v>2</v>
      </c>
      <c r="I127" s="19">
        <v>2.2000000000000002</v>
      </c>
      <c r="J127" s="36">
        <f>'Flow Rate Calculations'!$B$7</f>
        <v>4.0831050228310497</v>
      </c>
      <c r="K127" s="36">
        <f t="shared" si="43"/>
        <v>1.0741261942924094</v>
      </c>
      <c r="L127" s="37">
        <f>$I127*$K127/'Calculation Constants'!$B$7</f>
        <v>2091219.139330355</v>
      </c>
      <c r="M127" s="37" t="str">
        <f t="shared" si="29"/>
        <v>Greater Dynamic Pressures</v>
      </c>
      <c r="N127" s="23">
        <f t="shared" si="44"/>
        <v>246.68029102868604</v>
      </c>
      <c r="O127" s="55">
        <f t="shared" si="30"/>
        <v>246.13369669997428</v>
      </c>
      <c r="P127" s="64">
        <f>MAX(I127*1000/'Calculation Constants'!$B$14,O127*10*I127*1000/2/('Calculation Constants'!$B$12*1000*'Calculation Constants'!$B$13))</f>
        <v>18.049804424664782</v>
      </c>
      <c r="Q127" s="66">
        <f t="shared" si="31"/>
        <v>1942526.0831092701</v>
      </c>
      <c r="R127" s="27">
        <f>(1/(2*LOG(3.7*$I127/'Calculation Constants'!$B$2*1000)))^2</f>
        <v>8.4679866037394684E-3</v>
      </c>
      <c r="S127" s="19">
        <f t="shared" si="45"/>
        <v>0.45268811177167712</v>
      </c>
      <c r="T127" s="19">
        <f>IF($H127&gt;0,'Calculation Constants'!$B$9*Hydraulics!$K127^2/2/9.81/MAX($F$4:$F$253)*$H127,"")</f>
        <v>3.5282785359788842E-2</v>
      </c>
      <c r="U127" s="19">
        <f t="shared" si="46"/>
        <v>0.48797089713146596</v>
      </c>
      <c r="V127" s="19">
        <f t="shared" si="32"/>
        <v>0</v>
      </c>
      <c r="W127" s="19">
        <f t="shared" si="33"/>
        <v>246.68029102868604</v>
      </c>
      <c r="X127" s="23">
        <f t="shared" si="34"/>
        <v>1178.604291028686</v>
      </c>
      <c r="Y127" s="22">
        <f>(1/(2*LOG(3.7*$I127/'Calculation Constants'!$B$3*1000)))^2</f>
        <v>9.4904462912918219E-3</v>
      </c>
      <c r="Z127" s="19">
        <f t="shared" si="35"/>
        <v>0.50734754464280807</v>
      </c>
      <c r="AA127" s="19">
        <f>IF($H127&gt;0,'Calculation Constants'!$B$9*Hydraulics!$K127^2/2/9.81/MAX($F$4:$F$253)*$H127,"")</f>
        <v>3.5282785359788842E-2</v>
      </c>
      <c r="AB127" s="19">
        <f t="shared" si="54"/>
        <v>0.54263033000259686</v>
      </c>
      <c r="AC127" s="19">
        <f t="shared" si="36"/>
        <v>0</v>
      </c>
      <c r="AD127" s="19">
        <f t="shared" si="47"/>
        <v>246.13369669997428</v>
      </c>
      <c r="AE127" s="23">
        <f t="shared" si="37"/>
        <v>1178.0576966999743</v>
      </c>
      <c r="AF127" s="27">
        <f>(1/(2*LOG(3.7*$I127/'Calculation Constants'!$B$4*1000)))^2</f>
        <v>1.1152845500629007E-2</v>
      </c>
      <c r="AG127" s="19">
        <f t="shared" si="38"/>
        <v>0.59621735446906032</v>
      </c>
      <c r="AH127" s="19">
        <f>IF($H127&gt;0,'Calculation Constants'!$B$9*Hydraulics!$K127^2/2/9.81/MAX($F$4:$F$253)*$H127,"")</f>
        <v>3.5282785359788842E-2</v>
      </c>
      <c r="AI127" s="19">
        <f t="shared" si="48"/>
        <v>0.63150013982884912</v>
      </c>
      <c r="AJ127" s="19">
        <f t="shared" si="39"/>
        <v>0</v>
      </c>
      <c r="AK127" s="19">
        <f t="shared" si="49"/>
        <v>245.24499860171136</v>
      </c>
      <c r="AL127" s="23">
        <f t="shared" si="40"/>
        <v>1177.1689986017113</v>
      </c>
      <c r="AM127" s="22">
        <f>(1/(2*LOG(3.7*($I127-0.008)/'Calculation Constants'!$B$5*1000)))^2</f>
        <v>1.4104604303736145E-2</v>
      </c>
      <c r="AN127" s="19">
        <f t="shared" si="50"/>
        <v>0.75676661531854661</v>
      </c>
      <c r="AO127" s="19">
        <f>IF($H127&gt;0,'Calculation Constants'!$B$9*Hydraulics!$K127^2/2/9.81/MAX($F$4:$F$253)*$H127,"")</f>
        <v>3.5282785359788842E-2</v>
      </c>
      <c r="AP127" s="19">
        <f t="shared" si="51"/>
        <v>0.7920494006783354</v>
      </c>
      <c r="AQ127" s="19">
        <f t="shared" si="41"/>
        <v>0</v>
      </c>
      <c r="AR127" s="19">
        <f t="shared" si="52"/>
        <v>243.63950599321743</v>
      </c>
      <c r="AS127" s="23">
        <f t="shared" si="42"/>
        <v>1175.5635059932174</v>
      </c>
    </row>
    <row r="128" spans="5:45">
      <c r="E128" s="35" t="str">
        <f t="shared" si="28"/>
        <v/>
      </c>
      <c r="F128" s="19">
        <f>'Profile data'!A128</f>
        <v>250</v>
      </c>
      <c r="G128" s="19">
        <f>VLOOKUP(F128,'Profile data'!A128:C387,IF($B$22="Botswana 1",2,3))</f>
        <v>936.72199999999998</v>
      </c>
      <c r="H128" s="19">
        <f t="shared" si="53"/>
        <v>2</v>
      </c>
      <c r="I128" s="19">
        <v>2.2000000000000002</v>
      </c>
      <c r="J128" s="36">
        <f>'Flow Rate Calculations'!$B$7</f>
        <v>4.0831050228310497</v>
      </c>
      <c r="K128" s="36">
        <f t="shared" si="43"/>
        <v>1.0741261942924094</v>
      </c>
      <c r="L128" s="37">
        <f>$I128*$K128/'Calculation Constants'!$B$7</f>
        <v>2091219.139330355</v>
      </c>
      <c r="M128" s="37" t="str">
        <f t="shared" si="29"/>
        <v>Greater Dynamic Pressures</v>
      </c>
      <c r="N128" s="23">
        <f t="shared" si="44"/>
        <v>241.39432013155465</v>
      </c>
      <c r="O128" s="55">
        <f t="shared" si="30"/>
        <v>240.79306636997171</v>
      </c>
      <c r="P128" s="64">
        <f>MAX(I128*1000/'Calculation Constants'!$B$14,O128*10*I128*1000/2/('Calculation Constants'!$B$12*1000*'Calculation Constants'!$B$13))</f>
        <v>17.658158200464595</v>
      </c>
      <c r="Q128" s="66">
        <f t="shared" si="31"/>
        <v>1900718.0890495649</v>
      </c>
      <c r="R128" s="27">
        <f>(1/(2*LOG(3.7*$I128/'Calculation Constants'!$B$2*1000)))^2</f>
        <v>8.4679866037394684E-3</v>
      </c>
      <c r="S128" s="19">
        <f t="shared" si="45"/>
        <v>0.45268811177167712</v>
      </c>
      <c r="T128" s="19">
        <f>IF($H128&gt;0,'Calculation Constants'!$B$9*Hydraulics!$K128^2/2/9.81/MAX($F$4:$F$253)*$H128,"")</f>
        <v>3.5282785359788842E-2</v>
      </c>
      <c r="U128" s="19">
        <f t="shared" si="46"/>
        <v>0.48797089713146596</v>
      </c>
      <c r="V128" s="19">
        <f t="shared" si="32"/>
        <v>0</v>
      </c>
      <c r="W128" s="19">
        <f t="shared" si="33"/>
        <v>241.39432013155465</v>
      </c>
      <c r="X128" s="23">
        <f t="shared" si="34"/>
        <v>1178.1163201315546</v>
      </c>
      <c r="Y128" s="22">
        <f>(1/(2*LOG(3.7*$I128/'Calculation Constants'!$B$3*1000)))^2</f>
        <v>9.4904462912918219E-3</v>
      </c>
      <c r="Z128" s="19">
        <f t="shared" si="35"/>
        <v>0.50734754464280807</v>
      </c>
      <c r="AA128" s="19">
        <f>IF($H128&gt;0,'Calculation Constants'!$B$9*Hydraulics!$K128^2/2/9.81/MAX($F$4:$F$253)*$H128,"")</f>
        <v>3.5282785359788842E-2</v>
      </c>
      <c r="AB128" s="19">
        <f t="shared" si="54"/>
        <v>0.54263033000259686</v>
      </c>
      <c r="AC128" s="19">
        <f t="shared" si="36"/>
        <v>0</v>
      </c>
      <c r="AD128" s="19">
        <f t="shared" si="47"/>
        <v>240.79306636997171</v>
      </c>
      <c r="AE128" s="23">
        <f t="shared" si="37"/>
        <v>1177.5150663699717</v>
      </c>
      <c r="AF128" s="27">
        <f>(1/(2*LOG(3.7*$I128/'Calculation Constants'!$B$4*1000)))^2</f>
        <v>1.1152845500629007E-2</v>
      </c>
      <c r="AG128" s="19">
        <f t="shared" si="38"/>
        <v>0.59621735446906032</v>
      </c>
      <c r="AH128" s="19">
        <f>IF($H128&gt;0,'Calculation Constants'!$B$9*Hydraulics!$K128^2/2/9.81/MAX($F$4:$F$253)*$H128,"")</f>
        <v>3.5282785359788842E-2</v>
      </c>
      <c r="AI128" s="19">
        <f t="shared" si="48"/>
        <v>0.63150013982884912</v>
      </c>
      <c r="AJ128" s="19">
        <f t="shared" si="39"/>
        <v>0</v>
      </c>
      <c r="AK128" s="19">
        <f t="shared" si="49"/>
        <v>239.8154984618825</v>
      </c>
      <c r="AL128" s="23">
        <f t="shared" si="40"/>
        <v>1176.5374984618825</v>
      </c>
      <c r="AM128" s="22">
        <f>(1/(2*LOG(3.7*($I128-0.008)/'Calculation Constants'!$B$5*1000)))^2</f>
        <v>1.4104604303736145E-2</v>
      </c>
      <c r="AN128" s="19">
        <f t="shared" si="50"/>
        <v>0.75676661531854661</v>
      </c>
      <c r="AO128" s="19">
        <f>IF($H128&gt;0,'Calculation Constants'!$B$9*Hydraulics!$K128^2/2/9.81/MAX($F$4:$F$253)*$H128,"")</f>
        <v>3.5282785359788842E-2</v>
      </c>
      <c r="AP128" s="19">
        <f t="shared" si="51"/>
        <v>0.7920494006783354</v>
      </c>
      <c r="AQ128" s="19">
        <f t="shared" si="41"/>
        <v>0</v>
      </c>
      <c r="AR128" s="19">
        <f t="shared" si="52"/>
        <v>238.04945659253917</v>
      </c>
      <c r="AS128" s="23">
        <f t="shared" si="42"/>
        <v>1174.7714565925392</v>
      </c>
    </row>
    <row r="129" spans="5:45">
      <c r="E129" s="35" t="str">
        <f t="shared" si="28"/>
        <v/>
      </c>
      <c r="F129" s="19">
        <f>'Profile data'!A129</f>
        <v>252</v>
      </c>
      <c r="G129" s="19">
        <f>VLOOKUP(F129,'Profile data'!A129:C388,IF($B$22="Botswana 1",2,3))</f>
        <v>941.77700000000004</v>
      </c>
      <c r="H129" s="19">
        <f t="shared" si="53"/>
        <v>2</v>
      </c>
      <c r="I129" s="19">
        <v>2.2000000000000002</v>
      </c>
      <c r="J129" s="36">
        <f>'Flow Rate Calculations'!$B$7</f>
        <v>4.0831050228310497</v>
      </c>
      <c r="K129" s="36">
        <f t="shared" si="43"/>
        <v>1.0741261942924094</v>
      </c>
      <c r="L129" s="37">
        <f>$I129*$K129/'Calculation Constants'!$B$7</f>
        <v>2091219.139330355</v>
      </c>
      <c r="M129" s="37" t="str">
        <f t="shared" si="29"/>
        <v>Greater Dynamic Pressures</v>
      </c>
      <c r="N129" s="23">
        <f t="shared" si="44"/>
        <v>235.8513492344232</v>
      </c>
      <c r="O129" s="55">
        <f t="shared" si="30"/>
        <v>235.19543603996908</v>
      </c>
      <c r="P129" s="64">
        <f>MAX(I129*1000/'Calculation Constants'!$B$14,O129*10*I129*1000/2/('Calculation Constants'!$B$12*1000*'Calculation Constants'!$B$13))</f>
        <v>17.247665309597732</v>
      </c>
      <c r="Q129" s="66">
        <f t="shared" si="31"/>
        <v>1856881.9841860209</v>
      </c>
      <c r="R129" s="27">
        <f>(1/(2*LOG(3.7*$I129/'Calculation Constants'!$B$2*1000)))^2</f>
        <v>8.4679866037394684E-3</v>
      </c>
      <c r="S129" s="19">
        <f t="shared" si="45"/>
        <v>0.45268811177167712</v>
      </c>
      <c r="T129" s="19">
        <f>IF($H129&gt;0,'Calculation Constants'!$B$9*Hydraulics!$K129^2/2/9.81/MAX($F$4:$F$253)*$H129,"")</f>
        <v>3.5282785359788842E-2</v>
      </c>
      <c r="U129" s="19">
        <f t="shared" si="46"/>
        <v>0.48797089713146596</v>
      </c>
      <c r="V129" s="19">
        <f t="shared" si="32"/>
        <v>0</v>
      </c>
      <c r="W129" s="19">
        <f t="shared" si="33"/>
        <v>235.8513492344232</v>
      </c>
      <c r="X129" s="23">
        <f t="shared" si="34"/>
        <v>1177.6283492344232</v>
      </c>
      <c r="Y129" s="22">
        <f>(1/(2*LOG(3.7*$I129/'Calculation Constants'!$B$3*1000)))^2</f>
        <v>9.4904462912918219E-3</v>
      </c>
      <c r="Z129" s="19">
        <f t="shared" si="35"/>
        <v>0.50734754464280807</v>
      </c>
      <c r="AA129" s="19">
        <f>IF($H129&gt;0,'Calculation Constants'!$B$9*Hydraulics!$K129^2/2/9.81/MAX($F$4:$F$253)*$H129,"")</f>
        <v>3.5282785359788842E-2</v>
      </c>
      <c r="AB129" s="19">
        <f t="shared" si="54"/>
        <v>0.54263033000259686</v>
      </c>
      <c r="AC129" s="19">
        <f t="shared" si="36"/>
        <v>0</v>
      </c>
      <c r="AD129" s="19">
        <f t="shared" si="47"/>
        <v>235.19543603996908</v>
      </c>
      <c r="AE129" s="23">
        <f t="shared" si="37"/>
        <v>1176.9724360399691</v>
      </c>
      <c r="AF129" s="27">
        <f>(1/(2*LOG(3.7*$I129/'Calculation Constants'!$B$4*1000)))^2</f>
        <v>1.1152845500629007E-2</v>
      </c>
      <c r="AG129" s="19">
        <f t="shared" si="38"/>
        <v>0.59621735446906032</v>
      </c>
      <c r="AH129" s="19">
        <f>IF($H129&gt;0,'Calculation Constants'!$B$9*Hydraulics!$K129^2/2/9.81/MAX($F$4:$F$253)*$H129,"")</f>
        <v>3.5282785359788842E-2</v>
      </c>
      <c r="AI129" s="19">
        <f t="shared" si="48"/>
        <v>0.63150013982884912</v>
      </c>
      <c r="AJ129" s="19">
        <f t="shared" si="39"/>
        <v>0</v>
      </c>
      <c r="AK129" s="19">
        <f t="shared" si="49"/>
        <v>234.12899832205358</v>
      </c>
      <c r="AL129" s="23">
        <f t="shared" si="40"/>
        <v>1175.9059983220536</v>
      </c>
      <c r="AM129" s="22">
        <f>(1/(2*LOG(3.7*($I129-0.008)/'Calculation Constants'!$B$5*1000)))^2</f>
        <v>1.4104604303736145E-2</v>
      </c>
      <c r="AN129" s="19">
        <f t="shared" si="50"/>
        <v>0.75676661531854661</v>
      </c>
      <c r="AO129" s="19">
        <f>IF($H129&gt;0,'Calculation Constants'!$B$9*Hydraulics!$K129^2/2/9.81/MAX($F$4:$F$253)*$H129,"")</f>
        <v>3.5282785359788842E-2</v>
      </c>
      <c r="AP129" s="19">
        <f t="shared" si="51"/>
        <v>0.7920494006783354</v>
      </c>
      <c r="AQ129" s="19">
        <f t="shared" si="41"/>
        <v>0</v>
      </c>
      <c r="AR129" s="19">
        <f t="shared" si="52"/>
        <v>232.20240719186086</v>
      </c>
      <c r="AS129" s="23">
        <f t="shared" si="42"/>
        <v>1173.9794071918609</v>
      </c>
    </row>
    <row r="130" spans="5:45">
      <c r="E130" s="35" t="str">
        <f t="shared" si="28"/>
        <v/>
      </c>
      <c r="F130" s="19">
        <f>'Profile data'!A130</f>
        <v>254</v>
      </c>
      <c r="G130" s="19">
        <f>VLOOKUP(F130,'Profile data'!A130:C389,IF($B$22="Botswana 1",2,3))</f>
        <v>948.14300000000003</v>
      </c>
      <c r="H130" s="19">
        <f t="shared" si="53"/>
        <v>2</v>
      </c>
      <c r="I130" s="19">
        <v>2.2000000000000002</v>
      </c>
      <c r="J130" s="36">
        <f>'Flow Rate Calculations'!$B$7</f>
        <v>4.0831050228310497</v>
      </c>
      <c r="K130" s="36">
        <f t="shared" si="43"/>
        <v>1.0741261942924094</v>
      </c>
      <c r="L130" s="37">
        <f>$I130*$K130/'Calculation Constants'!$B$7</f>
        <v>2091219.139330355</v>
      </c>
      <c r="M130" s="37" t="str">
        <f t="shared" si="29"/>
        <v>Greater Dynamic Pressures</v>
      </c>
      <c r="N130" s="23">
        <f t="shared" si="44"/>
        <v>228.99737833729182</v>
      </c>
      <c r="O130" s="55">
        <f t="shared" si="30"/>
        <v>228.28680570996653</v>
      </c>
      <c r="P130" s="64">
        <f>MAX(I130*1000/'Calculation Constants'!$B$14,O130*10*I130*1000/2/('Calculation Constants'!$B$12*1000*'Calculation Constants'!$B$13))</f>
        <v>16.741032418730878</v>
      </c>
      <c r="Q130" s="66">
        <f t="shared" si="31"/>
        <v>1802756.2719131203</v>
      </c>
      <c r="R130" s="27">
        <f>(1/(2*LOG(3.7*$I130/'Calculation Constants'!$B$2*1000)))^2</f>
        <v>8.4679866037394684E-3</v>
      </c>
      <c r="S130" s="19">
        <f t="shared" si="45"/>
        <v>0.45268811177167712</v>
      </c>
      <c r="T130" s="19">
        <f>IF($H130&gt;0,'Calculation Constants'!$B$9*Hydraulics!$K130^2/2/9.81/MAX($F$4:$F$253)*$H130,"")</f>
        <v>3.5282785359788842E-2</v>
      </c>
      <c r="U130" s="19">
        <f t="shared" si="46"/>
        <v>0.48797089713146596</v>
      </c>
      <c r="V130" s="19">
        <f t="shared" si="32"/>
        <v>0</v>
      </c>
      <c r="W130" s="19">
        <f t="shared" si="33"/>
        <v>228.99737833729182</v>
      </c>
      <c r="X130" s="23">
        <f t="shared" si="34"/>
        <v>1177.1403783372918</v>
      </c>
      <c r="Y130" s="22">
        <f>(1/(2*LOG(3.7*$I130/'Calculation Constants'!$B$3*1000)))^2</f>
        <v>9.4904462912918219E-3</v>
      </c>
      <c r="Z130" s="19">
        <f t="shared" si="35"/>
        <v>0.50734754464280807</v>
      </c>
      <c r="AA130" s="19">
        <f>IF($H130&gt;0,'Calculation Constants'!$B$9*Hydraulics!$K130^2/2/9.81/MAX($F$4:$F$253)*$H130,"")</f>
        <v>3.5282785359788842E-2</v>
      </c>
      <c r="AB130" s="19">
        <f t="shared" si="54"/>
        <v>0.54263033000259686</v>
      </c>
      <c r="AC130" s="19">
        <f t="shared" si="36"/>
        <v>0</v>
      </c>
      <c r="AD130" s="19">
        <f t="shared" si="47"/>
        <v>228.28680570996653</v>
      </c>
      <c r="AE130" s="23">
        <f t="shared" si="37"/>
        <v>1176.4298057099666</v>
      </c>
      <c r="AF130" s="27">
        <f>(1/(2*LOG(3.7*$I130/'Calculation Constants'!$B$4*1000)))^2</f>
        <v>1.1152845500629007E-2</v>
      </c>
      <c r="AG130" s="19">
        <f t="shared" si="38"/>
        <v>0.59621735446906032</v>
      </c>
      <c r="AH130" s="19">
        <f>IF($H130&gt;0,'Calculation Constants'!$B$9*Hydraulics!$K130^2/2/9.81/MAX($F$4:$F$253)*$H130,"")</f>
        <v>3.5282785359788842E-2</v>
      </c>
      <c r="AI130" s="19">
        <f t="shared" si="48"/>
        <v>0.63150013982884912</v>
      </c>
      <c r="AJ130" s="19">
        <f t="shared" si="39"/>
        <v>0</v>
      </c>
      <c r="AK130" s="19">
        <f t="shared" si="49"/>
        <v>227.13149818222473</v>
      </c>
      <c r="AL130" s="23">
        <f t="shared" si="40"/>
        <v>1175.2744981822248</v>
      </c>
      <c r="AM130" s="22">
        <f>(1/(2*LOG(3.7*($I130-0.008)/'Calculation Constants'!$B$5*1000)))^2</f>
        <v>1.4104604303736145E-2</v>
      </c>
      <c r="AN130" s="19">
        <f t="shared" si="50"/>
        <v>0.75676661531854661</v>
      </c>
      <c r="AO130" s="19">
        <f>IF($H130&gt;0,'Calculation Constants'!$B$9*Hydraulics!$K130^2/2/9.81/MAX($F$4:$F$253)*$H130,"")</f>
        <v>3.5282785359788842E-2</v>
      </c>
      <c r="AP130" s="19">
        <f t="shared" si="51"/>
        <v>0.7920494006783354</v>
      </c>
      <c r="AQ130" s="19">
        <f t="shared" si="41"/>
        <v>0</v>
      </c>
      <c r="AR130" s="19">
        <f t="shared" si="52"/>
        <v>225.04435779118262</v>
      </c>
      <c r="AS130" s="23">
        <f t="shared" si="42"/>
        <v>1173.1873577911826</v>
      </c>
    </row>
    <row r="131" spans="5:45">
      <c r="E131" s="35" t="str">
        <f t="shared" si="28"/>
        <v/>
      </c>
      <c r="F131" s="19">
        <f>'Profile data'!A131</f>
        <v>256</v>
      </c>
      <c r="G131" s="19">
        <f>VLOOKUP(F131,'Profile data'!A131:C390,IF($B$22="Botswana 1",2,3))</f>
        <v>955.41700000000003</v>
      </c>
      <c r="H131" s="19">
        <f t="shared" si="53"/>
        <v>2</v>
      </c>
      <c r="I131" s="19">
        <v>2.2000000000000002</v>
      </c>
      <c r="J131" s="36">
        <f>'Flow Rate Calculations'!$B$7</f>
        <v>4.0831050228310497</v>
      </c>
      <c r="K131" s="36">
        <f t="shared" si="43"/>
        <v>1.0741261942924094</v>
      </c>
      <c r="L131" s="37">
        <f>$I131*$K131/'Calculation Constants'!$B$7</f>
        <v>2091219.139330355</v>
      </c>
      <c r="M131" s="37" t="str">
        <f t="shared" si="29"/>
        <v>Greater Dynamic Pressures</v>
      </c>
      <c r="N131" s="23">
        <f t="shared" si="44"/>
        <v>221.23540744016043</v>
      </c>
      <c r="O131" s="55">
        <f t="shared" si="30"/>
        <v>220.47017537996396</v>
      </c>
      <c r="P131" s="64">
        <f>MAX(I131*1000/'Calculation Constants'!$B$14,O131*10*I131*1000/2/('Calculation Constants'!$B$12*1000*'Calculation Constants'!$B$13))</f>
        <v>16.167812861197358</v>
      </c>
      <c r="Q131" s="66">
        <f t="shared" si="31"/>
        <v>1741486.2967657489</v>
      </c>
      <c r="R131" s="27">
        <f>(1/(2*LOG(3.7*$I131/'Calculation Constants'!$B$2*1000)))^2</f>
        <v>8.4679866037394684E-3</v>
      </c>
      <c r="S131" s="19">
        <f t="shared" si="45"/>
        <v>0.45268811177167712</v>
      </c>
      <c r="T131" s="19">
        <f>IF($H131&gt;0,'Calculation Constants'!$B$9*Hydraulics!$K131^2/2/9.81/MAX($F$4:$F$253)*$H131,"")</f>
        <v>3.5282785359788842E-2</v>
      </c>
      <c r="U131" s="19">
        <f t="shared" si="46"/>
        <v>0.48797089713146596</v>
      </c>
      <c r="V131" s="19">
        <f t="shared" si="32"/>
        <v>0</v>
      </c>
      <c r="W131" s="19">
        <f t="shared" si="33"/>
        <v>221.23540744016043</v>
      </c>
      <c r="X131" s="23">
        <f t="shared" si="34"/>
        <v>1176.6524074401605</v>
      </c>
      <c r="Y131" s="22">
        <f>(1/(2*LOG(3.7*$I131/'Calculation Constants'!$B$3*1000)))^2</f>
        <v>9.4904462912918219E-3</v>
      </c>
      <c r="Z131" s="19">
        <f t="shared" si="35"/>
        <v>0.50734754464280807</v>
      </c>
      <c r="AA131" s="19">
        <f>IF($H131&gt;0,'Calculation Constants'!$B$9*Hydraulics!$K131^2/2/9.81/MAX($F$4:$F$253)*$H131,"")</f>
        <v>3.5282785359788842E-2</v>
      </c>
      <c r="AB131" s="19">
        <f t="shared" si="54"/>
        <v>0.54263033000259686</v>
      </c>
      <c r="AC131" s="19">
        <f t="shared" si="36"/>
        <v>0</v>
      </c>
      <c r="AD131" s="19">
        <f t="shared" si="47"/>
        <v>220.47017537996396</v>
      </c>
      <c r="AE131" s="23">
        <f t="shared" si="37"/>
        <v>1175.887175379964</v>
      </c>
      <c r="AF131" s="27">
        <f>(1/(2*LOG(3.7*$I131/'Calculation Constants'!$B$4*1000)))^2</f>
        <v>1.1152845500629007E-2</v>
      </c>
      <c r="AG131" s="19">
        <f t="shared" si="38"/>
        <v>0.59621735446906032</v>
      </c>
      <c r="AH131" s="19">
        <f>IF($H131&gt;0,'Calculation Constants'!$B$9*Hydraulics!$K131^2/2/9.81/MAX($F$4:$F$253)*$H131,"")</f>
        <v>3.5282785359788842E-2</v>
      </c>
      <c r="AI131" s="19">
        <f t="shared" si="48"/>
        <v>0.63150013982884912</v>
      </c>
      <c r="AJ131" s="19">
        <f t="shared" si="39"/>
        <v>0</v>
      </c>
      <c r="AK131" s="19">
        <f t="shared" si="49"/>
        <v>219.22599804239587</v>
      </c>
      <c r="AL131" s="23">
        <f t="shared" si="40"/>
        <v>1174.6429980423959</v>
      </c>
      <c r="AM131" s="22">
        <f>(1/(2*LOG(3.7*($I131-0.008)/'Calculation Constants'!$B$5*1000)))^2</f>
        <v>1.4104604303736145E-2</v>
      </c>
      <c r="AN131" s="19">
        <f t="shared" si="50"/>
        <v>0.75676661531854661</v>
      </c>
      <c r="AO131" s="19">
        <f>IF($H131&gt;0,'Calculation Constants'!$B$9*Hydraulics!$K131^2/2/9.81/MAX($F$4:$F$253)*$H131,"")</f>
        <v>3.5282785359788842E-2</v>
      </c>
      <c r="AP131" s="19">
        <f t="shared" si="51"/>
        <v>0.7920494006783354</v>
      </c>
      <c r="AQ131" s="19">
        <f t="shared" si="41"/>
        <v>0</v>
      </c>
      <c r="AR131" s="19">
        <f t="shared" si="52"/>
        <v>216.97830839050437</v>
      </c>
      <c r="AS131" s="23">
        <f t="shared" si="42"/>
        <v>1172.3953083905044</v>
      </c>
    </row>
    <row r="132" spans="5:45">
      <c r="E132" s="35" t="str">
        <f t="shared" ref="E132:E195" si="55">IF(OR(F132=$B$11,F132=$B$12,F132=$B$13,F132=$B$14,F132=$B$15),"Reservoir",IF(OR(F132=$B$4,F132=$B$5,F132=$B$6),"Pump Station",""))</f>
        <v/>
      </c>
      <c r="F132" s="19">
        <f>'Profile data'!A132</f>
        <v>258</v>
      </c>
      <c r="G132" s="19">
        <f>VLOOKUP(F132,'Profile data'!A132:C391,IF($B$22="Botswana 1",2,3))</f>
        <v>962.7</v>
      </c>
      <c r="H132" s="19">
        <f t="shared" si="53"/>
        <v>2</v>
      </c>
      <c r="I132" s="19">
        <v>2.2000000000000002</v>
      </c>
      <c r="J132" s="36">
        <f>'Flow Rate Calculations'!$B$7</f>
        <v>4.0831050228310497</v>
      </c>
      <c r="K132" s="36">
        <f t="shared" si="43"/>
        <v>1.0741261942924094</v>
      </c>
      <c r="L132" s="37">
        <f>$I132*$K132/'Calculation Constants'!$B$7</f>
        <v>2091219.139330355</v>
      </c>
      <c r="M132" s="37" t="str">
        <f t="shared" ref="M132:M195" si="56">IF(X132&gt;VLOOKUP(F132,$B$11:$D$15,2),"Greater Dynamic Pressures",VLOOKUP(F132,$B$11:$C$15,2)-G132)</f>
        <v>Greater Dynamic Pressures</v>
      </c>
      <c r="N132" s="23">
        <f t="shared" si="44"/>
        <v>213.46443654302902</v>
      </c>
      <c r="O132" s="55">
        <f t="shared" ref="O132:O195" si="57">MAX(M132,AD132)</f>
        <v>212.64454504996138</v>
      </c>
      <c r="P132" s="64">
        <f>MAX(I132*1000/'Calculation Constants'!$B$14,O132*10*I132*1000/2/('Calculation Constants'!$B$12*1000*'Calculation Constants'!$B$13))</f>
        <v>15.593933303663833</v>
      </c>
      <c r="Q132" s="66">
        <f t="shared" ref="Q132:Q195" si="58">(I132^2*PI()/4-(I132-P132/1000*2)^2*PI()/4)*H132*1000*7850</f>
        <v>1680113.306730475</v>
      </c>
      <c r="R132" s="27">
        <f>(1/(2*LOG(3.7*$I132/'Calculation Constants'!$B$2*1000)))^2</f>
        <v>8.4679866037394684E-3</v>
      </c>
      <c r="S132" s="19">
        <f t="shared" si="45"/>
        <v>0.45268811177167712</v>
      </c>
      <c r="T132" s="19">
        <f>IF($H132&gt;0,'Calculation Constants'!$B$9*Hydraulics!$K132^2/2/9.81/MAX($F$4:$F$253)*$H132,"")</f>
        <v>3.5282785359788842E-2</v>
      </c>
      <c r="U132" s="19">
        <f t="shared" si="46"/>
        <v>0.48797089713146596</v>
      </c>
      <c r="V132" s="19">
        <f t="shared" ref="V132:V195" si="59">IF($F132=$B$4,$D$4,(IF($F132=$B$5,$D$5,IF($F132=$B$6,$D$6,0))))</f>
        <v>0</v>
      </c>
      <c r="W132" s="19">
        <f t="shared" ref="W132:W195" si="60">IF(E132="Reservoir",VLOOKUP(F132,$B$11:$D$15,2)-G132,X132-$G132)</f>
        <v>213.46443654302902</v>
      </c>
      <c r="X132" s="23">
        <f t="shared" ref="X132:X195" si="61">IF($E132="Reservoir",VLOOKUP($F132,$B$11:$D$15,2)+V132,X131-U132+V132)</f>
        <v>1176.1644365430291</v>
      </c>
      <c r="Y132" s="22">
        <f>(1/(2*LOG(3.7*$I132/'Calculation Constants'!$B$3*1000)))^2</f>
        <v>9.4904462912918219E-3</v>
      </c>
      <c r="Z132" s="19">
        <f t="shared" ref="Z132:Z195" si="62">IF($H132&gt;0,Y132*$H132*$K132^2/2/9.81/$I132*1000,"")</f>
        <v>0.50734754464280807</v>
      </c>
      <c r="AA132" s="19">
        <f>IF($H132&gt;0,'Calculation Constants'!$B$9*Hydraulics!$K132^2/2/9.81/MAX($F$4:$F$253)*$H132,"")</f>
        <v>3.5282785359788842E-2</v>
      </c>
      <c r="AB132" s="19">
        <f t="shared" si="54"/>
        <v>0.54263033000259686</v>
      </c>
      <c r="AC132" s="19">
        <f t="shared" ref="AC132:AC195" si="63">IF($F132=$B$4,$D$4,(IF($F132=$B$5,$D$5,IF($F132=$B$6,$D$6,0))))</f>
        <v>0</v>
      </c>
      <c r="AD132" s="19">
        <f t="shared" si="47"/>
        <v>212.64454504996138</v>
      </c>
      <c r="AE132" s="23">
        <f t="shared" ref="AE132:AE195" si="64">IF($E132="Reservoir",VLOOKUP($F132,$B$11:$D$15,2)+AC132,AE131-AB132+AC132)</f>
        <v>1175.3445450499614</v>
      </c>
      <c r="AF132" s="27">
        <f>(1/(2*LOG(3.7*$I132/'Calculation Constants'!$B$4*1000)))^2</f>
        <v>1.1152845500629007E-2</v>
      </c>
      <c r="AG132" s="19">
        <f t="shared" ref="AG132:AG195" si="65">IF($H132&gt;0,AF132*$H132*$K132^2/2/9.81/$I132*1000,"")</f>
        <v>0.59621735446906032</v>
      </c>
      <c r="AH132" s="19">
        <f>IF($H132&gt;0,'Calculation Constants'!$B$9*Hydraulics!$K132^2/2/9.81/MAX($F$4:$F$253)*$H132,"")</f>
        <v>3.5282785359788842E-2</v>
      </c>
      <c r="AI132" s="19">
        <f t="shared" si="48"/>
        <v>0.63150013982884912</v>
      </c>
      <c r="AJ132" s="19">
        <f t="shared" ref="AJ132:AJ195" si="66">IF($F132=$B$4,$D$4,(IF($F132=$B$5,$D$5,IF($F132=$B$6,$D$6,0))))</f>
        <v>0</v>
      </c>
      <c r="AK132" s="19">
        <f t="shared" si="49"/>
        <v>211.311497902567</v>
      </c>
      <c r="AL132" s="23">
        <f t="shared" ref="AL132:AL195" si="67">IF($E132="Reservoir",VLOOKUP($F132,$B$11:$D$15,2)+AJ132,AL131-AI132+AJ132)</f>
        <v>1174.011497902567</v>
      </c>
      <c r="AM132" s="22">
        <f>(1/(2*LOG(3.7*($I132-0.008)/'Calculation Constants'!$B$5*1000)))^2</f>
        <v>1.4104604303736145E-2</v>
      </c>
      <c r="AN132" s="19">
        <f t="shared" si="50"/>
        <v>0.75676661531854661</v>
      </c>
      <c r="AO132" s="19">
        <f>IF($H132&gt;0,'Calculation Constants'!$B$9*Hydraulics!$K132^2/2/9.81/MAX($F$4:$F$253)*$H132,"")</f>
        <v>3.5282785359788842E-2</v>
      </c>
      <c r="AP132" s="19">
        <f t="shared" si="51"/>
        <v>0.7920494006783354</v>
      </c>
      <c r="AQ132" s="19">
        <f t="shared" ref="AQ132:AQ195" si="68">IF($F132=$B$4,$D$4,(IF($F132=$B$5,$D$5,IF($F132=$B$6,$D$6,0))))</f>
        <v>0</v>
      </c>
      <c r="AR132" s="19">
        <f t="shared" si="52"/>
        <v>208.9032589898261</v>
      </c>
      <c r="AS132" s="23">
        <f t="shared" ref="AS132:AS195" si="69">IF($E132="Reservoir",VLOOKUP($F132,$B$11:$D$15,2)+AQ132,AS131-AP132+AQ132)</f>
        <v>1171.6032589898261</v>
      </c>
    </row>
    <row r="133" spans="5:45">
      <c r="E133" s="35" t="str">
        <f t="shared" si="55"/>
        <v/>
      </c>
      <c r="F133" s="19">
        <f>'Profile data'!A133</f>
        <v>260</v>
      </c>
      <c r="G133" s="19">
        <f>VLOOKUP(F133,'Profile data'!A133:C392,IF($B$22="Botswana 1",2,3))</f>
        <v>969.28099999999995</v>
      </c>
      <c r="H133" s="19">
        <f t="shared" si="53"/>
        <v>2</v>
      </c>
      <c r="I133" s="19">
        <v>2.2000000000000002</v>
      </c>
      <c r="J133" s="36">
        <f>'Flow Rate Calculations'!$B$7</f>
        <v>4.0831050228310497</v>
      </c>
      <c r="K133" s="36">
        <f t="shared" ref="K133:K196" si="70">J133/I133^2/PI()*4</f>
        <v>1.0741261942924094</v>
      </c>
      <c r="L133" s="37">
        <f>$I133*$K133/'Calculation Constants'!$B$7</f>
        <v>2091219.139330355</v>
      </c>
      <c r="M133" s="37" t="str">
        <f t="shared" si="56"/>
        <v>Greater Dynamic Pressures</v>
      </c>
      <c r="N133" s="23">
        <f t="shared" ref="N133:N196" si="71">W133</f>
        <v>206.39546564589773</v>
      </c>
      <c r="O133" s="55">
        <f t="shared" si="57"/>
        <v>205.52091471995891</v>
      </c>
      <c r="P133" s="64">
        <f>MAX(I133*1000/'Calculation Constants'!$B$14,O133*10*I133*1000/2/('Calculation Constants'!$B$12*1000*'Calculation Constants'!$B$13))</f>
        <v>15.071533746130321</v>
      </c>
      <c r="Q133" s="66">
        <f t="shared" si="58"/>
        <v>1624217.5480540695</v>
      </c>
      <c r="R133" s="27">
        <f>(1/(2*LOG(3.7*$I133/'Calculation Constants'!$B$2*1000)))^2</f>
        <v>8.4679866037394684E-3</v>
      </c>
      <c r="S133" s="19">
        <f t="shared" ref="S133:S196" si="72">IF($H133&gt;0,R133*$H133*$K133^2/2/9.81/$I133*1000,"")</f>
        <v>0.45268811177167712</v>
      </c>
      <c r="T133" s="19">
        <f>IF($H133&gt;0,'Calculation Constants'!$B$9*Hydraulics!$K133^2/2/9.81/MAX($F$4:$F$253)*$H133,"")</f>
        <v>3.5282785359788842E-2</v>
      </c>
      <c r="U133" s="19">
        <f t="shared" ref="U133:U196" si="73">IF(S133="",0,S133+T133)</f>
        <v>0.48797089713146596</v>
      </c>
      <c r="V133" s="19">
        <f t="shared" si="59"/>
        <v>0</v>
      </c>
      <c r="W133" s="19">
        <f t="shared" si="60"/>
        <v>206.39546564589773</v>
      </c>
      <c r="X133" s="23">
        <f t="shared" si="61"/>
        <v>1175.6764656458977</v>
      </c>
      <c r="Y133" s="22">
        <f>(1/(2*LOG(3.7*$I133/'Calculation Constants'!$B$3*1000)))^2</f>
        <v>9.4904462912918219E-3</v>
      </c>
      <c r="Z133" s="19">
        <f t="shared" si="62"/>
        <v>0.50734754464280807</v>
      </c>
      <c r="AA133" s="19">
        <f>IF($H133&gt;0,'Calculation Constants'!$B$9*Hydraulics!$K133^2/2/9.81/MAX($F$4:$F$253)*$H133,"")</f>
        <v>3.5282785359788842E-2</v>
      </c>
      <c r="AB133" s="19">
        <f t="shared" si="54"/>
        <v>0.54263033000259686</v>
      </c>
      <c r="AC133" s="19">
        <f t="shared" si="63"/>
        <v>0</v>
      </c>
      <c r="AD133" s="19">
        <f t="shared" ref="AD133:AD196" si="74">AE133-$G133</f>
        <v>205.52091471995891</v>
      </c>
      <c r="AE133" s="23">
        <f t="shared" si="64"/>
        <v>1174.8019147199589</v>
      </c>
      <c r="AF133" s="27">
        <f>(1/(2*LOG(3.7*$I133/'Calculation Constants'!$B$4*1000)))^2</f>
        <v>1.1152845500629007E-2</v>
      </c>
      <c r="AG133" s="19">
        <f t="shared" si="65"/>
        <v>0.59621735446906032</v>
      </c>
      <c r="AH133" s="19">
        <f>IF($H133&gt;0,'Calculation Constants'!$B$9*Hydraulics!$K133^2/2/9.81/MAX($F$4:$F$253)*$H133,"")</f>
        <v>3.5282785359788842E-2</v>
      </c>
      <c r="AI133" s="19">
        <f t="shared" ref="AI133:AI196" si="75">IF(AG133="",0,AG133+AH133)</f>
        <v>0.63150013982884912</v>
      </c>
      <c r="AJ133" s="19">
        <f t="shared" si="66"/>
        <v>0</v>
      </c>
      <c r="AK133" s="19">
        <f t="shared" ref="AK133:AK196" si="76">AL133-$G133</f>
        <v>204.09899776273824</v>
      </c>
      <c r="AL133" s="23">
        <f t="shared" si="67"/>
        <v>1173.3799977627382</v>
      </c>
      <c r="AM133" s="22">
        <f>(1/(2*LOG(3.7*($I133-0.008)/'Calculation Constants'!$B$5*1000)))^2</f>
        <v>1.4104604303736145E-2</v>
      </c>
      <c r="AN133" s="19">
        <f t="shared" ref="AN133:AN196" si="77">IF($H133&gt;0,AM133*$H133*$K133^2/2/9.81/($I133-0.008)*1000,"")</f>
        <v>0.75676661531854661</v>
      </c>
      <c r="AO133" s="19">
        <f>IF($H133&gt;0,'Calculation Constants'!$B$9*Hydraulics!$K133^2/2/9.81/MAX($F$4:$F$253)*$H133,"")</f>
        <v>3.5282785359788842E-2</v>
      </c>
      <c r="AP133" s="19">
        <f t="shared" ref="AP133:AP196" si="78">IF(AN133="",0,AN133+AO133)</f>
        <v>0.7920494006783354</v>
      </c>
      <c r="AQ133" s="19">
        <f t="shared" si="68"/>
        <v>0</v>
      </c>
      <c r="AR133" s="19">
        <f t="shared" ref="AR133:AR196" si="79">AS133-$G133</f>
        <v>201.53020958914794</v>
      </c>
      <c r="AS133" s="23">
        <f t="shared" si="69"/>
        <v>1170.8112095891479</v>
      </c>
    </row>
    <row r="134" spans="5:45">
      <c r="E134" s="35" t="str">
        <f t="shared" si="55"/>
        <v/>
      </c>
      <c r="F134" s="19">
        <f>'Profile data'!A134</f>
        <v>262</v>
      </c>
      <c r="G134" s="19">
        <f>VLOOKUP(F134,'Profile data'!A134:C393,IF($B$22="Botswana 1",2,3))</f>
        <v>980.28399999999999</v>
      </c>
      <c r="H134" s="19">
        <f t="shared" ref="H134:H197" si="80">F134-F133</f>
        <v>2</v>
      </c>
      <c r="I134" s="19">
        <v>2.2000000000000002</v>
      </c>
      <c r="J134" s="36">
        <f>'Flow Rate Calculations'!$B$7</f>
        <v>4.0831050228310497</v>
      </c>
      <c r="K134" s="36">
        <f t="shared" si="70"/>
        <v>1.0741261942924094</v>
      </c>
      <c r="L134" s="37">
        <f>$I134*$K134/'Calculation Constants'!$B$7</f>
        <v>2091219.139330355</v>
      </c>
      <c r="M134" s="37" t="str">
        <f t="shared" si="56"/>
        <v>Greater Dynamic Pressures</v>
      </c>
      <c r="N134" s="23">
        <f t="shared" si="71"/>
        <v>194.9044947487663</v>
      </c>
      <c r="O134" s="55">
        <f t="shared" si="57"/>
        <v>193.9752843899563</v>
      </c>
      <c r="P134" s="64">
        <f>MAX(I134*1000/'Calculation Constants'!$B$14,O134*10*I134*1000/2/('Calculation Constants'!$B$12*1000*'Calculation Constants'!$B$13))</f>
        <v>14.224854188596799</v>
      </c>
      <c r="Q134" s="66">
        <f t="shared" si="58"/>
        <v>1533567.2725800683</v>
      </c>
      <c r="R134" s="27">
        <f>(1/(2*LOG(3.7*$I134/'Calculation Constants'!$B$2*1000)))^2</f>
        <v>8.4679866037394684E-3</v>
      </c>
      <c r="S134" s="19">
        <f t="shared" si="72"/>
        <v>0.45268811177167712</v>
      </c>
      <c r="T134" s="19">
        <f>IF($H134&gt;0,'Calculation Constants'!$B$9*Hydraulics!$K134^2/2/9.81/MAX($F$4:$F$253)*$H134,"")</f>
        <v>3.5282785359788842E-2</v>
      </c>
      <c r="U134" s="19">
        <f t="shared" si="73"/>
        <v>0.48797089713146596</v>
      </c>
      <c r="V134" s="19">
        <f t="shared" si="59"/>
        <v>0</v>
      </c>
      <c r="W134" s="19">
        <f t="shared" si="60"/>
        <v>194.9044947487663</v>
      </c>
      <c r="X134" s="23">
        <f t="shared" si="61"/>
        <v>1175.1884947487663</v>
      </c>
      <c r="Y134" s="22">
        <f>(1/(2*LOG(3.7*$I134/'Calculation Constants'!$B$3*1000)))^2</f>
        <v>9.4904462912918219E-3</v>
      </c>
      <c r="Z134" s="19">
        <f t="shared" si="62"/>
        <v>0.50734754464280807</v>
      </c>
      <c r="AA134" s="19">
        <f>IF($H134&gt;0,'Calculation Constants'!$B$9*Hydraulics!$K134^2/2/9.81/MAX($F$4:$F$253)*$H134,"")</f>
        <v>3.5282785359788842E-2</v>
      </c>
      <c r="AB134" s="19">
        <f t="shared" si="54"/>
        <v>0.54263033000259686</v>
      </c>
      <c r="AC134" s="19">
        <f t="shared" si="63"/>
        <v>0</v>
      </c>
      <c r="AD134" s="19">
        <f t="shared" si="74"/>
        <v>193.9752843899563</v>
      </c>
      <c r="AE134" s="23">
        <f t="shared" si="64"/>
        <v>1174.2592843899563</v>
      </c>
      <c r="AF134" s="27">
        <f>(1/(2*LOG(3.7*$I134/'Calculation Constants'!$B$4*1000)))^2</f>
        <v>1.1152845500629007E-2</v>
      </c>
      <c r="AG134" s="19">
        <f t="shared" si="65"/>
        <v>0.59621735446906032</v>
      </c>
      <c r="AH134" s="19">
        <f>IF($H134&gt;0,'Calculation Constants'!$B$9*Hydraulics!$K134^2/2/9.81/MAX($F$4:$F$253)*$H134,"")</f>
        <v>3.5282785359788842E-2</v>
      </c>
      <c r="AI134" s="19">
        <f t="shared" si="75"/>
        <v>0.63150013982884912</v>
      </c>
      <c r="AJ134" s="19">
        <f t="shared" si="66"/>
        <v>0</v>
      </c>
      <c r="AK134" s="19">
        <f t="shared" si="76"/>
        <v>192.46449762290933</v>
      </c>
      <c r="AL134" s="23">
        <f t="shared" si="67"/>
        <v>1172.7484976229093</v>
      </c>
      <c r="AM134" s="22">
        <f>(1/(2*LOG(3.7*($I134-0.008)/'Calculation Constants'!$B$5*1000)))^2</f>
        <v>1.4104604303736145E-2</v>
      </c>
      <c r="AN134" s="19">
        <f t="shared" si="77"/>
        <v>0.75676661531854661</v>
      </c>
      <c r="AO134" s="19">
        <f>IF($H134&gt;0,'Calculation Constants'!$B$9*Hydraulics!$K134^2/2/9.81/MAX($F$4:$F$253)*$H134,"")</f>
        <v>3.5282785359788842E-2</v>
      </c>
      <c r="AP134" s="19">
        <f t="shared" si="78"/>
        <v>0.7920494006783354</v>
      </c>
      <c r="AQ134" s="19">
        <f t="shared" si="68"/>
        <v>0</v>
      </c>
      <c r="AR134" s="19">
        <f t="shared" si="79"/>
        <v>189.73516018846965</v>
      </c>
      <c r="AS134" s="23">
        <f t="shared" si="69"/>
        <v>1170.0191601884696</v>
      </c>
    </row>
    <row r="135" spans="5:45">
      <c r="E135" s="35" t="str">
        <f t="shared" si="55"/>
        <v/>
      </c>
      <c r="F135" s="19">
        <f>'Profile data'!A135</f>
        <v>264</v>
      </c>
      <c r="G135" s="19">
        <f>VLOOKUP(F135,'Profile data'!A135:C394,IF($B$22="Botswana 1",2,3))</f>
        <v>986.55100000000004</v>
      </c>
      <c r="H135" s="19">
        <f t="shared" si="80"/>
        <v>2</v>
      </c>
      <c r="I135" s="19">
        <v>2.2000000000000002</v>
      </c>
      <c r="J135" s="36">
        <f>'Flow Rate Calculations'!$B$7</f>
        <v>4.0831050228310497</v>
      </c>
      <c r="K135" s="36">
        <f t="shared" si="70"/>
        <v>1.0741261942924094</v>
      </c>
      <c r="L135" s="37">
        <f>$I135*$K135/'Calculation Constants'!$B$7</f>
        <v>2091219.139330355</v>
      </c>
      <c r="M135" s="37" t="str">
        <f t="shared" si="56"/>
        <v>Greater Dynamic Pressures</v>
      </c>
      <c r="N135" s="23">
        <f t="shared" si="71"/>
        <v>188.14952385163485</v>
      </c>
      <c r="O135" s="55">
        <f t="shared" si="57"/>
        <v>187.16565405995368</v>
      </c>
      <c r="P135" s="64">
        <f>MAX(I135*1000/'Calculation Constants'!$B$14,O135*10*I135*1000/2/('Calculation Constants'!$B$12*1000*'Calculation Constants'!$B$13))</f>
        <v>13.75</v>
      </c>
      <c r="Q135" s="66">
        <f t="shared" si="58"/>
        <v>1482695.7604373412</v>
      </c>
      <c r="R135" s="27">
        <f>(1/(2*LOG(3.7*$I135/'Calculation Constants'!$B$2*1000)))^2</f>
        <v>8.4679866037394684E-3</v>
      </c>
      <c r="S135" s="19">
        <f t="shared" si="72"/>
        <v>0.45268811177167712</v>
      </c>
      <c r="T135" s="19">
        <f>IF($H135&gt;0,'Calculation Constants'!$B$9*Hydraulics!$K135^2/2/9.81/MAX($F$4:$F$253)*$H135,"")</f>
        <v>3.5282785359788842E-2</v>
      </c>
      <c r="U135" s="19">
        <f t="shared" si="73"/>
        <v>0.48797089713146596</v>
      </c>
      <c r="V135" s="19">
        <f t="shared" si="59"/>
        <v>0</v>
      </c>
      <c r="W135" s="19">
        <f t="shared" si="60"/>
        <v>188.14952385163485</v>
      </c>
      <c r="X135" s="23">
        <f t="shared" si="61"/>
        <v>1174.7005238516349</v>
      </c>
      <c r="Y135" s="22">
        <f>(1/(2*LOG(3.7*$I135/'Calculation Constants'!$B$3*1000)))^2</f>
        <v>9.4904462912918219E-3</v>
      </c>
      <c r="Z135" s="19">
        <f t="shared" si="62"/>
        <v>0.50734754464280807</v>
      </c>
      <c r="AA135" s="19">
        <f>IF($H135&gt;0,'Calculation Constants'!$B$9*Hydraulics!$K135^2/2/9.81/MAX($F$4:$F$253)*$H135,"")</f>
        <v>3.5282785359788842E-2</v>
      </c>
      <c r="AB135" s="19">
        <f t="shared" si="54"/>
        <v>0.54263033000259686</v>
      </c>
      <c r="AC135" s="19">
        <f t="shared" si="63"/>
        <v>0</v>
      </c>
      <c r="AD135" s="19">
        <f t="shared" si="74"/>
        <v>187.16565405995368</v>
      </c>
      <c r="AE135" s="23">
        <f t="shared" si="64"/>
        <v>1173.7166540599537</v>
      </c>
      <c r="AF135" s="27">
        <f>(1/(2*LOG(3.7*$I135/'Calculation Constants'!$B$4*1000)))^2</f>
        <v>1.1152845500629007E-2</v>
      </c>
      <c r="AG135" s="19">
        <f t="shared" si="65"/>
        <v>0.59621735446906032</v>
      </c>
      <c r="AH135" s="19">
        <f>IF($H135&gt;0,'Calculation Constants'!$B$9*Hydraulics!$K135^2/2/9.81/MAX($F$4:$F$253)*$H135,"")</f>
        <v>3.5282785359788842E-2</v>
      </c>
      <c r="AI135" s="19">
        <f t="shared" si="75"/>
        <v>0.63150013982884912</v>
      </c>
      <c r="AJ135" s="19">
        <f t="shared" si="66"/>
        <v>0</v>
      </c>
      <c r="AK135" s="19">
        <f t="shared" si="76"/>
        <v>185.56599748308042</v>
      </c>
      <c r="AL135" s="23">
        <f t="shared" si="67"/>
        <v>1172.1169974830805</v>
      </c>
      <c r="AM135" s="22">
        <f>(1/(2*LOG(3.7*($I135-0.008)/'Calculation Constants'!$B$5*1000)))^2</f>
        <v>1.4104604303736145E-2</v>
      </c>
      <c r="AN135" s="19">
        <f t="shared" si="77"/>
        <v>0.75676661531854661</v>
      </c>
      <c r="AO135" s="19">
        <f>IF($H135&gt;0,'Calculation Constants'!$B$9*Hydraulics!$K135^2/2/9.81/MAX($F$4:$F$253)*$H135,"")</f>
        <v>3.5282785359788842E-2</v>
      </c>
      <c r="AP135" s="19">
        <f t="shared" si="78"/>
        <v>0.7920494006783354</v>
      </c>
      <c r="AQ135" s="19">
        <f t="shared" si="68"/>
        <v>0</v>
      </c>
      <c r="AR135" s="19">
        <f t="shared" si="79"/>
        <v>182.67611078779134</v>
      </c>
      <c r="AS135" s="23">
        <f t="shared" si="69"/>
        <v>1169.2271107877914</v>
      </c>
    </row>
    <row r="136" spans="5:45">
      <c r="E136" s="35" t="str">
        <f t="shared" si="55"/>
        <v/>
      </c>
      <c r="F136" s="19">
        <f>'Profile data'!A136</f>
        <v>266</v>
      </c>
      <c r="G136" s="19">
        <f>VLOOKUP(F136,'Profile data'!A136:C395,IF($B$22="Botswana 1",2,3))</f>
        <v>989.19799999999998</v>
      </c>
      <c r="H136" s="19">
        <f t="shared" si="80"/>
        <v>2</v>
      </c>
      <c r="I136" s="19">
        <v>2.2000000000000002</v>
      </c>
      <c r="J136" s="36">
        <f>'Flow Rate Calculations'!$B$7</f>
        <v>4.0831050228310497</v>
      </c>
      <c r="K136" s="36">
        <f t="shared" si="70"/>
        <v>1.0741261942924094</v>
      </c>
      <c r="L136" s="37">
        <f>$I136*$K136/'Calculation Constants'!$B$7</f>
        <v>2091219.139330355</v>
      </c>
      <c r="M136" s="37" t="str">
        <f t="shared" si="56"/>
        <v>Greater Dynamic Pressures</v>
      </c>
      <c r="N136" s="23">
        <f t="shared" si="71"/>
        <v>185.01455295450353</v>
      </c>
      <c r="O136" s="55">
        <f t="shared" si="57"/>
        <v>183.97602372995118</v>
      </c>
      <c r="P136" s="64">
        <f>MAX(I136*1000/'Calculation Constants'!$B$14,O136*10*I136*1000/2/('Calculation Constants'!$B$12*1000*'Calculation Constants'!$B$13))</f>
        <v>13.75</v>
      </c>
      <c r="Q136" s="66">
        <f t="shared" si="58"/>
        <v>1482695.7604373412</v>
      </c>
      <c r="R136" s="27">
        <f>(1/(2*LOG(3.7*$I136/'Calculation Constants'!$B$2*1000)))^2</f>
        <v>8.4679866037394684E-3</v>
      </c>
      <c r="S136" s="19">
        <f t="shared" si="72"/>
        <v>0.45268811177167712</v>
      </c>
      <c r="T136" s="19">
        <f>IF($H136&gt;0,'Calculation Constants'!$B$9*Hydraulics!$K136^2/2/9.81/MAX($F$4:$F$253)*$H136,"")</f>
        <v>3.5282785359788842E-2</v>
      </c>
      <c r="U136" s="19">
        <f t="shared" si="73"/>
        <v>0.48797089713146596</v>
      </c>
      <c r="V136" s="19">
        <f t="shared" si="59"/>
        <v>0</v>
      </c>
      <c r="W136" s="19">
        <f t="shared" si="60"/>
        <v>185.01455295450353</v>
      </c>
      <c r="X136" s="23">
        <f t="shared" si="61"/>
        <v>1174.2125529545035</v>
      </c>
      <c r="Y136" s="22">
        <f>(1/(2*LOG(3.7*$I136/'Calculation Constants'!$B$3*1000)))^2</f>
        <v>9.4904462912918219E-3</v>
      </c>
      <c r="Z136" s="19">
        <f t="shared" si="62"/>
        <v>0.50734754464280807</v>
      </c>
      <c r="AA136" s="19">
        <f>IF($H136&gt;0,'Calculation Constants'!$B$9*Hydraulics!$K136^2/2/9.81/MAX($F$4:$F$253)*$H136,"")</f>
        <v>3.5282785359788842E-2</v>
      </c>
      <c r="AB136" s="19">
        <f t="shared" ref="AB136:AB199" si="81">IF(Z136="",0,Z136+AA136)</f>
        <v>0.54263033000259686</v>
      </c>
      <c r="AC136" s="19">
        <f t="shared" si="63"/>
        <v>0</v>
      </c>
      <c r="AD136" s="19">
        <f t="shared" si="74"/>
        <v>183.97602372995118</v>
      </c>
      <c r="AE136" s="23">
        <f t="shared" si="64"/>
        <v>1173.1740237299512</v>
      </c>
      <c r="AF136" s="27">
        <f>(1/(2*LOG(3.7*$I136/'Calculation Constants'!$B$4*1000)))^2</f>
        <v>1.1152845500629007E-2</v>
      </c>
      <c r="AG136" s="19">
        <f t="shared" si="65"/>
        <v>0.59621735446906032</v>
      </c>
      <c r="AH136" s="19">
        <f>IF($H136&gt;0,'Calculation Constants'!$B$9*Hydraulics!$K136^2/2/9.81/MAX($F$4:$F$253)*$H136,"")</f>
        <v>3.5282785359788842E-2</v>
      </c>
      <c r="AI136" s="19">
        <f t="shared" si="75"/>
        <v>0.63150013982884912</v>
      </c>
      <c r="AJ136" s="19">
        <f t="shared" si="66"/>
        <v>0</v>
      </c>
      <c r="AK136" s="19">
        <f t="shared" si="76"/>
        <v>182.28749734325163</v>
      </c>
      <c r="AL136" s="23">
        <f t="shared" si="67"/>
        <v>1171.4854973432516</v>
      </c>
      <c r="AM136" s="22">
        <f>(1/(2*LOG(3.7*($I136-0.008)/'Calculation Constants'!$B$5*1000)))^2</f>
        <v>1.4104604303736145E-2</v>
      </c>
      <c r="AN136" s="19">
        <f t="shared" si="77"/>
        <v>0.75676661531854661</v>
      </c>
      <c r="AO136" s="19">
        <f>IF($H136&gt;0,'Calculation Constants'!$B$9*Hydraulics!$K136^2/2/9.81/MAX($F$4:$F$253)*$H136,"")</f>
        <v>3.5282785359788842E-2</v>
      </c>
      <c r="AP136" s="19">
        <f t="shared" si="78"/>
        <v>0.7920494006783354</v>
      </c>
      <c r="AQ136" s="19">
        <f t="shared" si="68"/>
        <v>0</v>
      </c>
      <c r="AR136" s="19">
        <f t="shared" si="79"/>
        <v>179.23706138711316</v>
      </c>
      <c r="AS136" s="23">
        <f t="shared" si="69"/>
        <v>1168.4350613871131</v>
      </c>
    </row>
    <row r="137" spans="5:45">
      <c r="E137" s="35" t="str">
        <f t="shared" si="55"/>
        <v/>
      </c>
      <c r="F137" s="19">
        <f>'Profile data'!A137</f>
        <v>268</v>
      </c>
      <c r="G137" s="19">
        <f>VLOOKUP(F137,'Profile data'!A137:C396,IF($B$22="Botswana 1",2,3))</f>
        <v>994.39</v>
      </c>
      <c r="H137" s="19">
        <f t="shared" si="80"/>
        <v>2</v>
      </c>
      <c r="I137" s="19">
        <v>2.2000000000000002</v>
      </c>
      <c r="J137" s="36">
        <f>'Flow Rate Calculations'!$B$7</f>
        <v>4.0831050228310497</v>
      </c>
      <c r="K137" s="36">
        <f t="shared" si="70"/>
        <v>1.0741261942924094</v>
      </c>
      <c r="L137" s="37">
        <f>$I137*$K137/'Calculation Constants'!$B$7</f>
        <v>2091219.139330355</v>
      </c>
      <c r="M137" s="37" t="str">
        <f t="shared" si="56"/>
        <v>Greater Dynamic Pressures</v>
      </c>
      <c r="N137" s="23">
        <f t="shared" si="71"/>
        <v>179.33458205737213</v>
      </c>
      <c r="O137" s="55">
        <f t="shared" si="57"/>
        <v>178.24139339994861</v>
      </c>
      <c r="P137" s="64">
        <f>MAX(I137*1000/'Calculation Constants'!$B$14,O137*10*I137*1000/2/('Calculation Constants'!$B$12*1000*'Calculation Constants'!$B$13))</f>
        <v>13.75</v>
      </c>
      <c r="Q137" s="66">
        <f t="shared" si="58"/>
        <v>1482695.7604373412</v>
      </c>
      <c r="R137" s="27">
        <f>(1/(2*LOG(3.7*$I137/'Calculation Constants'!$B$2*1000)))^2</f>
        <v>8.4679866037394684E-3</v>
      </c>
      <c r="S137" s="19">
        <f t="shared" si="72"/>
        <v>0.45268811177167712</v>
      </c>
      <c r="T137" s="19">
        <f>IF($H137&gt;0,'Calculation Constants'!$B$9*Hydraulics!$K137^2/2/9.81/MAX($F$4:$F$253)*$H137,"")</f>
        <v>3.5282785359788842E-2</v>
      </c>
      <c r="U137" s="19">
        <f t="shared" si="73"/>
        <v>0.48797089713146596</v>
      </c>
      <c r="V137" s="19">
        <f t="shared" si="59"/>
        <v>0</v>
      </c>
      <c r="W137" s="19">
        <f t="shared" si="60"/>
        <v>179.33458205737213</v>
      </c>
      <c r="X137" s="23">
        <f t="shared" si="61"/>
        <v>1173.7245820573721</v>
      </c>
      <c r="Y137" s="22">
        <f>(1/(2*LOG(3.7*$I137/'Calculation Constants'!$B$3*1000)))^2</f>
        <v>9.4904462912918219E-3</v>
      </c>
      <c r="Z137" s="19">
        <f t="shared" si="62"/>
        <v>0.50734754464280807</v>
      </c>
      <c r="AA137" s="19">
        <f>IF($H137&gt;0,'Calculation Constants'!$B$9*Hydraulics!$K137^2/2/9.81/MAX($F$4:$F$253)*$H137,"")</f>
        <v>3.5282785359788842E-2</v>
      </c>
      <c r="AB137" s="19">
        <f t="shared" si="81"/>
        <v>0.54263033000259686</v>
      </c>
      <c r="AC137" s="19">
        <f t="shared" si="63"/>
        <v>0</v>
      </c>
      <c r="AD137" s="19">
        <f t="shared" si="74"/>
        <v>178.24139339994861</v>
      </c>
      <c r="AE137" s="23">
        <f t="shared" si="64"/>
        <v>1172.6313933999486</v>
      </c>
      <c r="AF137" s="27">
        <f>(1/(2*LOG(3.7*$I137/'Calculation Constants'!$B$4*1000)))^2</f>
        <v>1.1152845500629007E-2</v>
      </c>
      <c r="AG137" s="19">
        <f t="shared" si="65"/>
        <v>0.59621735446906032</v>
      </c>
      <c r="AH137" s="19">
        <f>IF($H137&gt;0,'Calculation Constants'!$B$9*Hydraulics!$K137^2/2/9.81/MAX($F$4:$F$253)*$H137,"")</f>
        <v>3.5282785359788842E-2</v>
      </c>
      <c r="AI137" s="19">
        <f t="shared" si="75"/>
        <v>0.63150013982884912</v>
      </c>
      <c r="AJ137" s="19">
        <f t="shared" si="66"/>
        <v>0</v>
      </c>
      <c r="AK137" s="19">
        <f t="shared" si="76"/>
        <v>176.46399720342276</v>
      </c>
      <c r="AL137" s="23">
        <f t="shared" si="67"/>
        <v>1170.8539972034228</v>
      </c>
      <c r="AM137" s="22">
        <f>(1/(2*LOG(3.7*($I137-0.008)/'Calculation Constants'!$B$5*1000)))^2</f>
        <v>1.4104604303736145E-2</v>
      </c>
      <c r="AN137" s="19">
        <f t="shared" si="77"/>
        <v>0.75676661531854661</v>
      </c>
      <c r="AO137" s="19">
        <f>IF($H137&gt;0,'Calculation Constants'!$B$9*Hydraulics!$K137^2/2/9.81/MAX($F$4:$F$253)*$H137,"")</f>
        <v>3.5282785359788842E-2</v>
      </c>
      <c r="AP137" s="19">
        <f t="shared" si="78"/>
        <v>0.7920494006783354</v>
      </c>
      <c r="AQ137" s="19">
        <f t="shared" si="68"/>
        <v>0</v>
      </c>
      <c r="AR137" s="19">
        <f t="shared" si="79"/>
        <v>173.2530119864349</v>
      </c>
      <c r="AS137" s="23">
        <f t="shared" si="69"/>
        <v>1167.6430119864349</v>
      </c>
    </row>
    <row r="138" spans="5:45">
      <c r="E138" s="35" t="str">
        <f t="shared" si="55"/>
        <v/>
      </c>
      <c r="F138" s="19">
        <f>'Profile data'!A138</f>
        <v>270</v>
      </c>
      <c r="G138" s="19">
        <f>VLOOKUP(F138,'Profile data'!A138:C397,IF($B$22="Botswana 1",2,3))</f>
        <v>999.91700000000003</v>
      </c>
      <c r="H138" s="19">
        <f t="shared" si="80"/>
        <v>2</v>
      </c>
      <c r="I138" s="19">
        <v>2.2000000000000002</v>
      </c>
      <c r="J138" s="36">
        <f>'Flow Rate Calculations'!$B$7</f>
        <v>4.0831050228310497</v>
      </c>
      <c r="K138" s="36">
        <f t="shared" si="70"/>
        <v>1.0741261942924094</v>
      </c>
      <c r="L138" s="37">
        <f>$I138*$K138/'Calculation Constants'!$B$7</f>
        <v>2091219.139330355</v>
      </c>
      <c r="M138" s="37" t="str">
        <f t="shared" si="56"/>
        <v>Greater Dynamic Pressures</v>
      </c>
      <c r="N138" s="23">
        <f t="shared" si="71"/>
        <v>173.3196111602407</v>
      </c>
      <c r="O138" s="55">
        <f t="shared" si="57"/>
        <v>172.171763069946</v>
      </c>
      <c r="P138" s="64">
        <f>MAX(I138*1000/'Calculation Constants'!$B$14,O138*10*I138*1000/2/('Calculation Constants'!$B$12*1000*'Calculation Constants'!$B$13))</f>
        <v>13.75</v>
      </c>
      <c r="Q138" s="66">
        <f t="shared" si="58"/>
        <v>1482695.7604373412</v>
      </c>
      <c r="R138" s="27">
        <f>(1/(2*LOG(3.7*$I138/'Calculation Constants'!$B$2*1000)))^2</f>
        <v>8.4679866037394684E-3</v>
      </c>
      <c r="S138" s="19">
        <f t="shared" si="72"/>
        <v>0.45268811177167712</v>
      </c>
      <c r="T138" s="19">
        <f>IF($H138&gt;0,'Calculation Constants'!$B$9*Hydraulics!$K138^2/2/9.81/MAX($F$4:$F$253)*$H138,"")</f>
        <v>3.5282785359788842E-2</v>
      </c>
      <c r="U138" s="19">
        <f t="shared" si="73"/>
        <v>0.48797089713146596</v>
      </c>
      <c r="V138" s="19">
        <f t="shared" si="59"/>
        <v>0</v>
      </c>
      <c r="W138" s="19">
        <f t="shared" si="60"/>
        <v>173.3196111602407</v>
      </c>
      <c r="X138" s="23">
        <f t="shared" si="61"/>
        <v>1173.2366111602407</v>
      </c>
      <c r="Y138" s="22">
        <f>(1/(2*LOG(3.7*$I138/'Calculation Constants'!$B$3*1000)))^2</f>
        <v>9.4904462912918219E-3</v>
      </c>
      <c r="Z138" s="19">
        <f t="shared" si="62"/>
        <v>0.50734754464280807</v>
      </c>
      <c r="AA138" s="19">
        <f>IF($H138&gt;0,'Calculation Constants'!$B$9*Hydraulics!$K138^2/2/9.81/MAX($F$4:$F$253)*$H138,"")</f>
        <v>3.5282785359788842E-2</v>
      </c>
      <c r="AB138" s="19">
        <f t="shared" si="81"/>
        <v>0.54263033000259686</v>
      </c>
      <c r="AC138" s="19">
        <f t="shared" si="63"/>
        <v>0</v>
      </c>
      <c r="AD138" s="19">
        <f t="shared" si="74"/>
        <v>172.171763069946</v>
      </c>
      <c r="AE138" s="23">
        <f t="shared" si="64"/>
        <v>1172.088763069946</v>
      </c>
      <c r="AF138" s="27">
        <f>(1/(2*LOG(3.7*$I138/'Calculation Constants'!$B$4*1000)))^2</f>
        <v>1.1152845500629007E-2</v>
      </c>
      <c r="AG138" s="19">
        <f t="shared" si="65"/>
        <v>0.59621735446906032</v>
      </c>
      <c r="AH138" s="19">
        <f>IF($H138&gt;0,'Calculation Constants'!$B$9*Hydraulics!$K138^2/2/9.81/MAX($F$4:$F$253)*$H138,"")</f>
        <v>3.5282785359788842E-2</v>
      </c>
      <c r="AI138" s="19">
        <f t="shared" si="75"/>
        <v>0.63150013982884912</v>
      </c>
      <c r="AJ138" s="19">
        <f t="shared" si="66"/>
        <v>0</v>
      </c>
      <c r="AK138" s="19">
        <f t="shared" si="76"/>
        <v>170.30549706359386</v>
      </c>
      <c r="AL138" s="23">
        <f t="shared" si="67"/>
        <v>1170.2224970635939</v>
      </c>
      <c r="AM138" s="22">
        <f>(1/(2*LOG(3.7*($I138-0.008)/'Calculation Constants'!$B$5*1000)))^2</f>
        <v>1.4104604303736145E-2</v>
      </c>
      <c r="AN138" s="19">
        <f t="shared" si="77"/>
        <v>0.75676661531854661</v>
      </c>
      <c r="AO138" s="19">
        <f>IF($H138&gt;0,'Calculation Constants'!$B$9*Hydraulics!$K138^2/2/9.81/MAX($F$4:$F$253)*$H138,"")</f>
        <v>3.5282785359788842E-2</v>
      </c>
      <c r="AP138" s="19">
        <f t="shared" si="78"/>
        <v>0.7920494006783354</v>
      </c>
      <c r="AQ138" s="19">
        <f t="shared" si="68"/>
        <v>0</v>
      </c>
      <c r="AR138" s="19">
        <f t="shared" si="79"/>
        <v>166.9339625857566</v>
      </c>
      <c r="AS138" s="23">
        <f t="shared" si="69"/>
        <v>1166.8509625857566</v>
      </c>
    </row>
    <row r="139" spans="5:45">
      <c r="E139" s="35" t="str">
        <f t="shared" si="55"/>
        <v/>
      </c>
      <c r="F139" s="19">
        <f>'Profile data'!A139</f>
        <v>272</v>
      </c>
      <c r="G139" s="19">
        <f>VLOOKUP(F139,'Profile data'!A139:C398,IF($B$22="Botswana 1",2,3))</f>
        <v>1004.623</v>
      </c>
      <c r="H139" s="19">
        <f t="shared" si="80"/>
        <v>2</v>
      </c>
      <c r="I139" s="19">
        <v>2.2000000000000002</v>
      </c>
      <c r="J139" s="36">
        <f>'Flow Rate Calculations'!$B$7</f>
        <v>4.0831050228310497</v>
      </c>
      <c r="K139" s="36">
        <f t="shared" si="70"/>
        <v>1.0741261942924094</v>
      </c>
      <c r="L139" s="37">
        <f>$I139*$K139/'Calculation Constants'!$B$7</f>
        <v>2091219.139330355</v>
      </c>
      <c r="M139" s="37" t="str">
        <f t="shared" si="56"/>
        <v>Greater Dynamic Pressures</v>
      </c>
      <c r="N139" s="23">
        <f t="shared" si="71"/>
        <v>168.12564026310929</v>
      </c>
      <c r="O139" s="55">
        <f t="shared" si="57"/>
        <v>166.92313273994341</v>
      </c>
      <c r="P139" s="64">
        <f>MAX(I139*1000/'Calculation Constants'!$B$14,O139*10*I139*1000/2/('Calculation Constants'!$B$12*1000*'Calculation Constants'!$B$13))</f>
        <v>13.75</v>
      </c>
      <c r="Q139" s="66">
        <f t="shared" si="58"/>
        <v>1482695.7604373412</v>
      </c>
      <c r="R139" s="27">
        <f>(1/(2*LOG(3.7*$I139/'Calculation Constants'!$B$2*1000)))^2</f>
        <v>8.4679866037394684E-3</v>
      </c>
      <c r="S139" s="19">
        <f t="shared" si="72"/>
        <v>0.45268811177167712</v>
      </c>
      <c r="T139" s="19">
        <f>IF($H139&gt;0,'Calculation Constants'!$B$9*Hydraulics!$K139^2/2/9.81/MAX($F$4:$F$253)*$H139,"")</f>
        <v>3.5282785359788842E-2</v>
      </c>
      <c r="U139" s="19">
        <f t="shared" si="73"/>
        <v>0.48797089713146596</v>
      </c>
      <c r="V139" s="19">
        <f t="shared" si="59"/>
        <v>0</v>
      </c>
      <c r="W139" s="19">
        <f t="shared" si="60"/>
        <v>168.12564026310929</v>
      </c>
      <c r="X139" s="23">
        <f t="shared" si="61"/>
        <v>1172.7486402631093</v>
      </c>
      <c r="Y139" s="22">
        <f>(1/(2*LOG(3.7*$I139/'Calculation Constants'!$B$3*1000)))^2</f>
        <v>9.4904462912918219E-3</v>
      </c>
      <c r="Z139" s="19">
        <f t="shared" si="62"/>
        <v>0.50734754464280807</v>
      </c>
      <c r="AA139" s="19">
        <f>IF($H139&gt;0,'Calculation Constants'!$B$9*Hydraulics!$K139^2/2/9.81/MAX($F$4:$F$253)*$H139,"")</f>
        <v>3.5282785359788842E-2</v>
      </c>
      <c r="AB139" s="19">
        <f t="shared" si="81"/>
        <v>0.54263033000259686</v>
      </c>
      <c r="AC139" s="19">
        <f t="shared" si="63"/>
        <v>0</v>
      </c>
      <c r="AD139" s="19">
        <f t="shared" si="74"/>
        <v>166.92313273994341</v>
      </c>
      <c r="AE139" s="23">
        <f t="shared" si="64"/>
        <v>1171.5461327399435</v>
      </c>
      <c r="AF139" s="27">
        <f>(1/(2*LOG(3.7*$I139/'Calculation Constants'!$B$4*1000)))^2</f>
        <v>1.1152845500629007E-2</v>
      </c>
      <c r="AG139" s="19">
        <f t="shared" si="65"/>
        <v>0.59621735446906032</v>
      </c>
      <c r="AH139" s="19">
        <f>IF($H139&gt;0,'Calculation Constants'!$B$9*Hydraulics!$K139^2/2/9.81/MAX($F$4:$F$253)*$H139,"")</f>
        <v>3.5282785359788842E-2</v>
      </c>
      <c r="AI139" s="19">
        <f t="shared" si="75"/>
        <v>0.63150013982884912</v>
      </c>
      <c r="AJ139" s="19">
        <f t="shared" si="66"/>
        <v>0</v>
      </c>
      <c r="AK139" s="19">
        <f t="shared" si="76"/>
        <v>164.96799692376499</v>
      </c>
      <c r="AL139" s="23">
        <f t="shared" si="67"/>
        <v>1169.590996923765</v>
      </c>
      <c r="AM139" s="22">
        <f>(1/(2*LOG(3.7*($I139-0.008)/'Calculation Constants'!$B$5*1000)))^2</f>
        <v>1.4104604303736145E-2</v>
      </c>
      <c r="AN139" s="19">
        <f t="shared" si="77"/>
        <v>0.75676661531854661</v>
      </c>
      <c r="AO139" s="19">
        <f>IF($H139&gt;0,'Calculation Constants'!$B$9*Hydraulics!$K139^2/2/9.81/MAX($F$4:$F$253)*$H139,"")</f>
        <v>3.5282785359788842E-2</v>
      </c>
      <c r="AP139" s="19">
        <f t="shared" si="78"/>
        <v>0.7920494006783354</v>
      </c>
      <c r="AQ139" s="19">
        <f t="shared" si="68"/>
        <v>0</v>
      </c>
      <c r="AR139" s="19">
        <f t="shared" si="79"/>
        <v>161.43591318507833</v>
      </c>
      <c r="AS139" s="23">
        <f t="shared" si="69"/>
        <v>1166.0589131850784</v>
      </c>
    </row>
    <row r="140" spans="5:45">
      <c r="E140" s="35" t="str">
        <f t="shared" si="55"/>
        <v/>
      </c>
      <c r="F140" s="19">
        <f>'Profile data'!A140</f>
        <v>274</v>
      </c>
      <c r="G140" s="19">
        <f>VLOOKUP(F140,'Profile data'!A140:C399,IF($B$22="Botswana 1",2,3))</f>
        <v>1008.819</v>
      </c>
      <c r="H140" s="19">
        <f t="shared" si="80"/>
        <v>2</v>
      </c>
      <c r="I140" s="19">
        <v>2.2000000000000002</v>
      </c>
      <c r="J140" s="36">
        <f>'Flow Rate Calculations'!$B$7</f>
        <v>4.0831050228310497</v>
      </c>
      <c r="K140" s="36">
        <f t="shared" si="70"/>
        <v>1.0741261942924094</v>
      </c>
      <c r="L140" s="37">
        <f>$I140*$K140/'Calculation Constants'!$B$7</f>
        <v>2091219.139330355</v>
      </c>
      <c r="M140" s="37" t="str">
        <f t="shared" si="56"/>
        <v>Greater Dynamic Pressures</v>
      </c>
      <c r="N140" s="23">
        <f t="shared" si="71"/>
        <v>163.44166936597799</v>
      </c>
      <c r="O140" s="55">
        <f t="shared" si="57"/>
        <v>162.18450240994093</v>
      </c>
      <c r="P140" s="64">
        <f>MAX(I140*1000/'Calculation Constants'!$B$14,O140*10*I140*1000/2/('Calculation Constants'!$B$12*1000*'Calculation Constants'!$B$13))</f>
        <v>13.75</v>
      </c>
      <c r="Q140" s="66">
        <f t="shared" si="58"/>
        <v>1482695.7604373412</v>
      </c>
      <c r="R140" s="27">
        <f>(1/(2*LOG(3.7*$I140/'Calculation Constants'!$B$2*1000)))^2</f>
        <v>8.4679866037394684E-3</v>
      </c>
      <c r="S140" s="19">
        <f t="shared" si="72"/>
        <v>0.45268811177167712</v>
      </c>
      <c r="T140" s="19">
        <f>IF($H140&gt;0,'Calculation Constants'!$B$9*Hydraulics!$K140^2/2/9.81/MAX($F$4:$F$253)*$H140,"")</f>
        <v>3.5282785359788842E-2</v>
      </c>
      <c r="U140" s="19">
        <f t="shared" si="73"/>
        <v>0.48797089713146596</v>
      </c>
      <c r="V140" s="19">
        <f t="shared" si="59"/>
        <v>0</v>
      </c>
      <c r="W140" s="19">
        <f t="shared" si="60"/>
        <v>163.44166936597799</v>
      </c>
      <c r="X140" s="23">
        <f t="shared" si="61"/>
        <v>1172.2606693659779</v>
      </c>
      <c r="Y140" s="22">
        <f>(1/(2*LOG(3.7*$I140/'Calculation Constants'!$B$3*1000)))^2</f>
        <v>9.4904462912918219E-3</v>
      </c>
      <c r="Z140" s="19">
        <f t="shared" si="62"/>
        <v>0.50734754464280807</v>
      </c>
      <c r="AA140" s="19">
        <f>IF($H140&gt;0,'Calculation Constants'!$B$9*Hydraulics!$K140^2/2/9.81/MAX($F$4:$F$253)*$H140,"")</f>
        <v>3.5282785359788842E-2</v>
      </c>
      <c r="AB140" s="19">
        <f t="shared" si="81"/>
        <v>0.54263033000259686</v>
      </c>
      <c r="AC140" s="19">
        <f t="shared" si="63"/>
        <v>0</v>
      </c>
      <c r="AD140" s="19">
        <f t="shared" si="74"/>
        <v>162.18450240994093</v>
      </c>
      <c r="AE140" s="23">
        <f t="shared" si="64"/>
        <v>1171.0035024099409</v>
      </c>
      <c r="AF140" s="27">
        <f>(1/(2*LOG(3.7*$I140/'Calculation Constants'!$B$4*1000)))^2</f>
        <v>1.1152845500629007E-2</v>
      </c>
      <c r="AG140" s="19">
        <f t="shared" si="65"/>
        <v>0.59621735446906032</v>
      </c>
      <c r="AH140" s="19">
        <f>IF($H140&gt;0,'Calculation Constants'!$B$9*Hydraulics!$K140^2/2/9.81/MAX($F$4:$F$253)*$H140,"")</f>
        <v>3.5282785359788842E-2</v>
      </c>
      <c r="AI140" s="19">
        <f t="shared" si="75"/>
        <v>0.63150013982884912</v>
      </c>
      <c r="AJ140" s="19">
        <f t="shared" si="66"/>
        <v>0</v>
      </c>
      <c r="AK140" s="19">
        <f t="shared" si="76"/>
        <v>160.14049678393621</v>
      </c>
      <c r="AL140" s="23">
        <f t="shared" si="67"/>
        <v>1168.9594967839362</v>
      </c>
      <c r="AM140" s="22">
        <f>(1/(2*LOG(3.7*($I140-0.008)/'Calculation Constants'!$B$5*1000)))^2</f>
        <v>1.4104604303736145E-2</v>
      </c>
      <c r="AN140" s="19">
        <f t="shared" si="77"/>
        <v>0.75676661531854661</v>
      </c>
      <c r="AO140" s="19">
        <f>IF($H140&gt;0,'Calculation Constants'!$B$9*Hydraulics!$K140^2/2/9.81/MAX($F$4:$F$253)*$H140,"")</f>
        <v>3.5282785359788842E-2</v>
      </c>
      <c r="AP140" s="19">
        <f t="shared" si="78"/>
        <v>0.7920494006783354</v>
      </c>
      <c r="AQ140" s="19">
        <f t="shared" si="68"/>
        <v>0</v>
      </c>
      <c r="AR140" s="19">
        <f t="shared" si="79"/>
        <v>156.44786378440017</v>
      </c>
      <c r="AS140" s="23">
        <f t="shared" si="69"/>
        <v>1165.2668637844001</v>
      </c>
    </row>
    <row r="141" spans="5:45">
      <c r="E141" s="35" t="str">
        <f t="shared" si="55"/>
        <v/>
      </c>
      <c r="F141" s="19">
        <f>'Profile data'!A141</f>
        <v>276</v>
      </c>
      <c r="G141" s="19">
        <f>VLOOKUP(F141,'Profile data'!A141:C400,IF($B$22="Botswana 1",2,3))</f>
        <v>1007.8339999999999</v>
      </c>
      <c r="H141" s="19">
        <f t="shared" si="80"/>
        <v>2</v>
      </c>
      <c r="I141" s="19">
        <v>2.2000000000000002</v>
      </c>
      <c r="J141" s="36">
        <f>'Flow Rate Calculations'!$B$7</f>
        <v>4.0831050228310497</v>
      </c>
      <c r="K141" s="36">
        <f t="shared" si="70"/>
        <v>1.0741261942924094</v>
      </c>
      <c r="L141" s="37">
        <f>$I141*$K141/'Calculation Constants'!$B$7</f>
        <v>2091219.139330355</v>
      </c>
      <c r="M141" s="37" t="str">
        <f t="shared" si="56"/>
        <v>Greater Dynamic Pressures</v>
      </c>
      <c r="N141" s="23">
        <f t="shared" si="71"/>
        <v>163.93869846884661</v>
      </c>
      <c r="O141" s="55">
        <f t="shared" si="57"/>
        <v>162.62687207993838</v>
      </c>
      <c r="P141" s="64">
        <f>MAX(I141*1000/'Calculation Constants'!$B$14,O141*10*I141*1000/2/('Calculation Constants'!$B$12*1000*'Calculation Constants'!$B$13))</f>
        <v>13.75</v>
      </c>
      <c r="Q141" s="66">
        <f t="shared" si="58"/>
        <v>1482695.7604373412</v>
      </c>
      <c r="R141" s="27">
        <f>(1/(2*LOG(3.7*$I141/'Calculation Constants'!$B$2*1000)))^2</f>
        <v>8.4679866037394684E-3</v>
      </c>
      <c r="S141" s="19">
        <f t="shared" si="72"/>
        <v>0.45268811177167712</v>
      </c>
      <c r="T141" s="19">
        <f>IF($H141&gt;0,'Calculation Constants'!$B$9*Hydraulics!$K141^2/2/9.81/MAX($F$4:$F$253)*$H141,"")</f>
        <v>3.5282785359788842E-2</v>
      </c>
      <c r="U141" s="19">
        <f t="shared" si="73"/>
        <v>0.48797089713146596</v>
      </c>
      <c r="V141" s="19">
        <f t="shared" si="59"/>
        <v>0</v>
      </c>
      <c r="W141" s="19">
        <f t="shared" si="60"/>
        <v>163.93869846884661</v>
      </c>
      <c r="X141" s="23">
        <f t="shared" si="61"/>
        <v>1171.7726984688466</v>
      </c>
      <c r="Y141" s="22">
        <f>(1/(2*LOG(3.7*$I141/'Calculation Constants'!$B$3*1000)))^2</f>
        <v>9.4904462912918219E-3</v>
      </c>
      <c r="Z141" s="19">
        <f t="shared" si="62"/>
        <v>0.50734754464280807</v>
      </c>
      <c r="AA141" s="19">
        <f>IF($H141&gt;0,'Calculation Constants'!$B$9*Hydraulics!$K141^2/2/9.81/MAX($F$4:$F$253)*$H141,"")</f>
        <v>3.5282785359788842E-2</v>
      </c>
      <c r="AB141" s="19">
        <f t="shared" si="81"/>
        <v>0.54263033000259686</v>
      </c>
      <c r="AC141" s="19">
        <f t="shared" si="63"/>
        <v>0</v>
      </c>
      <c r="AD141" s="19">
        <f t="shared" si="74"/>
        <v>162.62687207993838</v>
      </c>
      <c r="AE141" s="23">
        <f t="shared" si="64"/>
        <v>1170.4608720799383</v>
      </c>
      <c r="AF141" s="27">
        <f>(1/(2*LOG(3.7*$I141/'Calculation Constants'!$B$4*1000)))^2</f>
        <v>1.1152845500629007E-2</v>
      </c>
      <c r="AG141" s="19">
        <f t="shared" si="65"/>
        <v>0.59621735446906032</v>
      </c>
      <c r="AH141" s="19">
        <f>IF($H141&gt;0,'Calculation Constants'!$B$9*Hydraulics!$K141^2/2/9.81/MAX($F$4:$F$253)*$H141,"")</f>
        <v>3.5282785359788842E-2</v>
      </c>
      <c r="AI141" s="19">
        <f t="shared" si="75"/>
        <v>0.63150013982884912</v>
      </c>
      <c r="AJ141" s="19">
        <f t="shared" si="66"/>
        <v>0</v>
      </c>
      <c r="AK141" s="19">
        <f t="shared" si="76"/>
        <v>160.49399664410737</v>
      </c>
      <c r="AL141" s="23">
        <f t="shared" si="67"/>
        <v>1168.3279966441073</v>
      </c>
      <c r="AM141" s="22">
        <f>(1/(2*LOG(3.7*($I141-0.008)/'Calculation Constants'!$B$5*1000)))^2</f>
        <v>1.4104604303736145E-2</v>
      </c>
      <c r="AN141" s="19">
        <f t="shared" si="77"/>
        <v>0.75676661531854661</v>
      </c>
      <c r="AO141" s="19">
        <f>IF($H141&gt;0,'Calculation Constants'!$B$9*Hydraulics!$K141^2/2/9.81/MAX($F$4:$F$253)*$H141,"")</f>
        <v>3.5282785359788842E-2</v>
      </c>
      <c r="AP141" s="19">
        <f t="shared" si="78"/>
        <v>0.7920494006783354</v>
      </c>
      <c r="AQ141" s="19">
        <f t="shared" si="68"/>
        <v>0</v>
      </c>
      <c r="AR141" s="19">
        <f t="shared" si="79"/>
        <v>156.64081438372193</v>
      </c>
      <c r="AS141" s="23">
        <f t="shared" si="69"/>
        <v>1164.4748143837219</v>
      </c>
    </row>
    <row r="142" spans="5:45">
      <c r="E142" s="35" t="str">
        <f t="shared" si="55"/>
        <v/>
      </c>
      <c r="F142" s="19">
        <f>'Profile data'!A142</f>
        <v>278</v>
      </c>
      <c r="G142" s="19">
        <f>VLOOKUP(F142,'Profile data'!A142:C401,IF($B$22="Botswana 1",2,3))</f>
        <v>1005.626</v>
      </c>
      <c r="H142" s="19">
        <f t="shared" si="80"/>
        <v>2</v>
      </c>
      <c r="I142" s="19">
        <v>2.2000000000000002</v>
      </c>
      <c r="J142" s="36">
        <f>'Flow Rate Calculations'!$B$7</f>
        <v>4.0831050228310497</v>
      </c>
      <c r="K142" s="36">
        <f t="shared" si="70"/>
        <v>1.0741261942924094</v>
      </c>
      <c r="L142" s="37">
        <f>$I142*$K142/'Calculation Constants'!$B$7</f>
        <v>2091219.139330355</v>
      </c>
      <c r="M142" s="37" t="str">
        <f t="shared" si="56"/>
        <v>Greater Dynamic Pressures</v>
      </c>
      <c r="N142" s="23">
        <f t="shared" si="71"/>
        <v>165.65872757171519</v>
      </c>
      <c r="O142" s="55">
        <f t="shared" si="57"/>
        <v>164.29224174993578</v>
      </c>
      <c r="P142" s="64">
        <f>MAX(I142*1000/'Calculation Constants'!$B$14,O142*10*I142*1000/2/('Calculation Constants'!$B$12*1000*'Calculation Constants'!$B$13))</f>
        <v>13.75</v>
      </c>
      <c r="Q142" s="66">
        <f t="shared" si="58"/>
        <v>1482695.7604373412</v>
      </c>
      <c r="R142" s="27">
        <f>(1/(2*LOG(3.7*$I142/'Calculation Constants'!$B$2*1000)))^2</f>
        <v>8.4679866037394684E-3</v>
      </c>
      <c r="S142" s="19">
        <f t="shared" si="72"/>
        <v>0.45268811177167712</v>
      </c>
      <c r="T142" s="19">
        <f>IF($H142&gt;0,'Calculation Constants'!$B$9*Hydraulics!$K142^2/2/9.81/MAX($F$4:$F$253)*$H142,"")</f>
        <v>3.5282785359788842E-2</v>
      </c>
      <c r="U142" s="19">
        <f t="shared" si="73"/>
        <v>0.48797089713146596</v>
      </c>
      <c r="V142" s="19">
        <f t="shared" si="59"/>
        <v>0</v>
      </c>
      <c r="W142" s="19">
        <f t="shared" si="60"/>
        <v>165.65872757171519</v>
      </c>
      <c r="X142" s="23">
        <f t="shared" si="61"/>
        <v>1171.2847275717152</v>
      </c>
      <c r="Y142" s="22">
        <f>(1/(2*LOG(3.7*$I142/'Calculation Constants'!$B$3*1000)))^2</f>
        <v>9.4904462912918219E-3</v>
      </c>
      <c r="Z142" s="19">
        <f t="shared" si="62"/>
        <v>0.50734754464280807</v>
      </c>
      <c r="AA142" s="19">
        <f>IF($H142&gt;0,'Calculation Constants'!$B$9*Hydraulics!$K142^2/2/9.81/MAX($F$4:$F$253)*$H142,"")</f>
        <v>3.5282785359788842E-2</v>
      </c>
      <c r="AB142" s="19">
        <f t="shared" si="81"/>
        <v>0.54263033000259686</v>
      </c>
      <c r="AC142" s="19">
        <f t="shared" si="63"/>
        <v>0</v>
      </c>
      <c r="AD142" s="19">
        <f t="shared" si="74"/>
        <v>164.29224174993578</v>
      </c>
      <c r="AE142" s="23">
        <f t="shared" si="64"/>
        <v>1169.9182417499358</v>
      </c>
      <c r="AF142" s="27">
        <f>(1/(2*LOG(3.7*$I142/'Calculation Constants'!$B$4*1000)))^2</f>
        <v>1.1152845500629007E-2</v>
      </c>
      <c r="AG142" s="19">
        <f t="shared" si="65"/>
        <v>0.59621735446906032</v>
      </c>
      <c r="AH142" s="19">
        <f>IF($H142&gt;0,'Calculation Constants'!$B$9*Hydraulics!$K142^2/2/9.81/MAX($F$4:$F$253)*$H142,"")</f>
        <v>3.5282785359788842E-2</v>
      </c>
      <c r="AI142" s="19">
        <f t="shared" si="75"/>
        <v>0.63150013982884912</v>
      </c>
      <c r="AJ142" s="19">
        <f t="shared" si="66"/>
        <v>0</v>
      </c>
      <c r="AK142" s="19">
        <f t="shared" si="76"/>
        <v>162.07049650427848</v>
      </c>
      <c r="AL142" s="23">
        <f t="shared" si="67"/>
        <v>1167.6964965042785</v>
      </c>
      <c r="AM142" s="22">
        <f>(1/(2*LOG(3.7*($I142-0.008)/'Calculation Constants'!$B$5*1000)))^2</f>
        <v>1.4104604303736145E-2</v>
      </c>
      <c r="AN142" s="19">
        <f t="shared" si="77"/>
        <v>0.75676661531854661</v>
      </c>
      <c r="AO142" s="19">
        <f>IF($H142&gt;0,'Calculation Constants'!$B$9*Hydraulics!$K142^2/2/9.81/MAX($F$4:$F$253)*$H142,"")</f>
        <v>3.5282785359788842E-2</v>
      </c>
      <c r="AP142" s="19">
        <f t="shared" si="78"/>
        <v>0.7920494006783354</v>
      </c>
      <c r="AQ142" s="19">
        <f t="shared" si="68"/>
        <v>0</v>
      </c>
      <c r="AR142" s="19">
        <f t="shared" si="79"/>
        <v>158.05676498304365</v>
      </c>
      <c r="AS142" s="23">
        <f t="shared" si="69"/>
        <v>1163.6827649830436</v>
      </c>
    </row>
    <row r="143" spans="5:45">
      <c r="E143" s="35" t="str">
        <f t="shared" si="55"/>
        <v/>
      </c>
      <c r="F143" s="19">
        <f>'Profile data'!A143</f>
        <v>280</v>
      </c>
      <c r="G143" s="19">
        <f>VLOOKUP(F143,'Profile data'!A143:C402,IF($B$22="Botswana 1",2,3))</f>
        <v>1001.623</v>
      </c>
      <c r="H143" s="19">
        <f t="shared" si="80"/>
        <v>2</v>
      </c>
      <c r="I143" s="19">
        <v>2.2000000000000002</v>
      </c>
      <c r="J143" s="36">
        <f>'Flow Rate Calculations'!$B$7</f>
        <v>4.0831050228310497</v>
      </c>
      <c r="K143" s="36">
        <f t="shared" si="70"/>
        <v>1.0741261942924094</v>
      </c>
      <c r="L143" s="37">
        <f>$I143*$K143/'Calculation Constants'!$B$7</f>
        <v>2091219.139330355</v>
      </c>
      <c r="M143" s="37" t="str">
        <f t="shared" si="56"/>
        <v>Greater Dynamic Pressures</v>
      </c>
      <c r="N143" s="23">
        <f t="shared" si="71"/>
        <v>169.17375667458373</v>
      </c>
      <c r="O143" s="55">
        <f t="shared" si="57"/>
        <v>167.75261141993315</v>
      </c>
      <c r="P143" s="64">
        <f>MAX(I143*1000/'Calculation Constants'!$B$14,O143*10*I143*1000/2/('Calculation Constants'!$B$12*1000*'Calculation Constants'!$B$13))</f>
        <v>13.75</v>
      </c>
      <c r="Q143" s="66">
        <f t="shared" si="58"/>
        <v>1482695.7604373412</v>
      </c>
      <c r="R143" s="27">
        <f>(1/(2*LOG(3.7*$I143/'Calculation Constants'!$B$2*1000)))^2</f>
        <v>8.4679866037394684E-3</v>
      </c>
      <c r="S143" s="19">
        <f t="shared" si="72"/>
        <v>0.45268811177167712</v>
      </c>
      <c r="T143" s="19">
        <f>IF($H143&gt;0,'Calculation Constants'!$B$9*Hydraulics!$K143^2/2/9.81/MAX($F$4:$F$253)*$H143,"")</f>
        <v>3.5282785359788842E-2</v>
      </c>
      <c r="U143" s="19">
        <f t="shared" si="73"/>
        <v>0.48797089713146596</v>
      </c>
      <c r="V143" s="19">
        <f t="shared" si="59"/>
        <v>0</v>
      </c>
      <c r="W143" s="19">
        <f t="shared" si="60"/>
        <v>169.17375667458373</v>
      </c>
      <c r="X143" s="23">
        <f t="shared" si="61"/>
        <v>1170.7967566745838</v>
      </c>
      <c r="Y143" s="22">
        <f>(1/(2*LOG(3.7*$I143/'Calculation Constants'!$B$3*1000)))^2</f>
        <v>9.4904462912918219E-3</v>
      </c>
      <c r="Z143" s="19">
        <f t="shared" si="62"/>
        <v>0.50734754464280807</v>
      </c>
      <c r="AA143" s="19">
        <f>IF($H143&gt;0,'Calculation Constants'!$B$9*Hydraulics!$K143^2/2/9.81/MAX($F$4:$F$253)*$H143,"")</f>
        <v>3.5282785359788842E-2</v>
      </c>
      <c r="AB143" s="19">
        <f t="shared" si="81"/>
        <v>0.54263033000259686</v>
      </c>
      <c r="AC143" s="19">
        <f t="shared" si="63"/>
        <v>0</v>
      </c>
      <c r="AD143" s="19">
        <f t="shared" si="74"/>
        <v>167.75261141993315</v>
      </c>
      <c r="AE143" s="23">
        <f t="shared" si="64"/>
        <v>1169.3756114199332</v>
      </c>
      <c r="AF143" s="27">
        <f>(1/(2*LOG(3.7*$I143/'Calculation Constants'!$B$4*1000)))^2</f>
        <v>1.1152845500629007E-2</v>
      </c>
      <c r="AG143" s="19">
        <f t="shared" si="65"/>
        <v>0.59621735446906032</v>
      </c>
      <c r="AH143" s="19">
        <f>IF($H143&gt;0,'Calculation Constants'!$B$9*Hydraulics!$K143^2/2/9.81/MAX($F$4:$F$253)*$H143,"")</f>
        <v>3.5282785359788842E-2</v>
      </c>
      <c r="AI143" s="19">
        <f t="shared" si="75"/>
        <v>0.63150013982884912</v>
      </c>
      <c r="AJ143" s="19">
        <f t="shared" si="66"/>
        <v>0</v>
      </c>
      <c r="AK143" s="19">
        <f t="shared" si="76"/>
        <v>165.44199636444955</v>
      </c>
      <c r="AL143" s="23">
        <f t="shared" si="67"/>
        <v>1167.0649963644496</v>
      </c>
      <c r="AM143" s="22">
        <f>(1/(2*LOG(3.7*($I143-0.008)/'Calculation Constants'!$B$5*1000)))^2</f>
        <v>1.4104604303736145E-2</v>
      </c>
      <c r="AN143" s="19">
        <f t="shared" si="77"/>
        <v>0.75676661531854661</v>
      </c>
      <c r="AO143" s="19">
        <f>IF($H143&gt;0,'Calculation Constants'!$B$9*Hydraulics!$K143^2/2/9.81/MAX($F$4:$F$253)*$H143,"")</f>
        <v>3.5282785359788842E-2</v>
      </c>
      <c r="AP143" s="19">
        <f t="shared" si="78"/>
        <v>0.7920494006783354</v>
      </c>
      <c r="AQ143" s="19">
        <f t="shared" si="68"/>
        <v>0</v>
      </c>
      <c r="AR143" s="19">
        <f t="shared" si="79"/>
        <v>161.26771558236533</v>
      </c>
      <c r="AS143" s="23">
        <f t="shared" si="69"/>
        <v>1162.8907155823654</v>
      </c>
    </row>
    <row r="144" spans="5:45">
      <c r="E144" s="35" t="str">
        <f t="shared" si="55"/>
        <v/>
      </c>
      <c r="F144" s="19">
        <f>'Profile data'!A144</f>
        <v>282</v>
      </c>
      <c r="G144" s="19">
        <f>VLOOKUP(F144,'Profile data'!A144:C403,IF($B$22="Botswana 1",2,3))</f>
        <v>1004.052</v>
      </c>
      <c r="H144" s="19">
        <f t="shared" si="80"/>
        <v>2</v>
      </c>
      <c r="I144" s="19">
        <v>2.2000000000000002</v>
      </c>
      <c r="J144" s="36">
        <f>'Flow Rate Calculations'!$B$7</f>
        <v>4.0831050228310497</v>
      </c>
      <c r="K144" s="36">
        <f t="shared" si="70"/>
        <v>1.0741261942924094</v>
      </c>
      <c r="L144" s="37">
        <f>$I144*$K144/'Calculation Constants'!$B$7</f>
        <v>2091219.139330355</v>
      </c>
      <c r="M144" s="37" t="str">
        <f t="shared" si="56"/>
        <v>Greater Dynamic Pressures</v>
      </c>
      <c r="N144" s="23">
        <f t="shared" si="71"/>
        <v>166.25678577745236</v>
      </c>
      <c r="O144" s="55">
        <f t="shared" si="57"/>
        <v>164.78098108993061</v>
      </c>
      <c r="P144" s="64">
        <f>MAX(I144*1000/'Calculation Constants'!$B$14,O144*10*I144*1000/2/('Calculation Constants'!$B$12*1000*'Calculation Constants'!$B$13))</f>
        <v>13.75</v>
      </c>
      <c r="Q144" s="66">
        <f t="shared" si="58"/>
        <v>1482695.7604373412</v>
      </c>
      <c r="R144" s="27">
        <f>(1/(2*LOG(3.7*$I144/'Calculation Constants'!$B$2*1000)))^2</f>
        <v>8.4679866037394684E-3</v>
      </c>
      <c r="S144" s="19">
        <f t="shared" si="72"/>
        <v>0.45268811177167712</v>
      </c>
      <c r="T144" s="19">
        <f>IF($H144&gt;0,'Calculation Constants'!$B$9*Hydraulics!$K144^2/2/9.81/MAX($F$4:$F$253)*$H144,"")</f>
        <v>3.5282785359788842E-2</v>
      </c>
      <c r="U144" s="19">
        <f t="shared" si="73"/>
        <v>0.48797089713146596</v>
      </c>
      <c r="V144" s="19">
        <f t="shared" si="59"/>
        <v>0</v>
      </c>
      <c r="W144" s="19">
        <f t="shared" si="60"/>
        <v>166.25678577745236</v>
      </c>
      <c r="X144" s="23">
        <f t="shared" si="61"/>
        <v>1170.3087857774524</v>
      </c>
      <c r="Y144" s="22">
        <f>(1/(2*LOG(3.7*$I144/'Calculation Constants'!$B$3*1000)))^2</f>
        <v>9.4904462912918219E-3</v>
      </c>
      <c r="Z144" s="19">
        <f t="shared" si="62"/>
        <v>0.50734754464280807</v>
      </c>
      <c r="AA144" s="19">
        <f>IF($H144&gt;0,'Calculation Constants'!$B$9*Hydraulics!$K144^2/2/9.81/MAX($F$4:$F$253)*$H144,"")</f>
        <v>3.5282785359788842E-2</v>
      </c>
      <c r="AB144" s="19">
        <f t="shared" si="81"/>
        <v>0.54263033000259686</v>
      </c>
      <c r="AC144" s="19">
        <f t="shared" si="63"/>
        <v>0</v>
      </c>
      <c r="AD144" s="19">
        <f t="shared" si="74"/>
        <v>164.78098108993061</v>
      </c>
      <c r="AE144" s="23">
        <f t="shared" si="64"/>
        <v>1168.8329810899306</v>
      </c>
      <c r="AF144" s="27">
        <f>(1/(2*LOG(3.7*$I144/'Calculation Constants'!$B$4*1000)))^2</f>
        <v>1.1152845500629007E-2</v>
      </c>
      <c r="AG144" s="19">
        <f t="shared" si="65"/>
        <v>0.59621735446906032</v>
      </c>
      <c r="AH144" s="19">
        <f>IF($H144&gt;0,'Calculation Constants'!$B$9*Hydraulics!$K144^2/2/9.81/MAX($F$4:$F$253)*$H144,"")</f>
        <v>3.5282785359788842E-2</v>
      </c>
      <c r="AI144" s="19">
        <f t="shared" si="75"/>
        <v>0.63150013982884912</v>
      </c>
      <c r="AJ144" s="19">
        <f t="shared" si="66"/>
        <v>0</v>
      </c>
      <c r="AK144" s="19">
        <f t="shared" si="76"/>
        <v>162.38149622462072</v>
      </c>
      <c r="AL144" s="23">
        <f t="shared" si="67"/>
        <v>1166.4334962246207</v>
      </c>
      <c r="AM144" s="22">
        <f>(1/(2*LOG(3.7*($I144-0.008)/'Calculation Constants'!$B$5*1000)))^2</f>
        <v>1.4104604303736145E-2</v>
      </c>
      <c r="AN144" s="19">
        <f t="shared" si="77"/>
        <v>0.75676661531854661</v>
      </c>
      <c r="AO144" s="19">
        <f>IF($H144&gt;0,'Calculation Constants'!$B$9*Hydraulics!$K144^2/2/9.81/MAX($F$4:$F$253)*$H144,"")</f>
        <v>3.5282785359788842E-2</v>
      </c>
      <c r="AP144" s="19">
        <f t="shared" si="78"/>
        <v>0.7920494006783354</v>
      </c>
      <c r="AQ144" s="19">
        <f t="shared" si="68"/>
        <v>0</v>
      </c>
      <c r="AR144" s="19">
        <f t="shared" si="79"/>
        <v>158.0466661816871</v>
      </c>
      <c r="AS144" s="23">
        <f t="shared" si="69"/>
        <v>1162.0986661816871</v>
      </c>
    </row>
    <row r="145" spans="5:45">
      <c r="E145" s="35" t="str">
        <f t="shared" si="55"/>
        <v/>
      </c>
      <c r="F145" s="19">
        <f>'Profile data'!A145</f>
        <v>284</v>
      </c>
      <c r="G145" s="19">
        <f>VLOOKUP(F145,'Profile data'!A145:C404,IF($B$22="Botswana 1",2,3))</f>
        <v>1010.797</v>
      </c>
      <c r="H145" s="19">
        <f t="shared" si="80"/>
        <v>2</v>
      </c>
      <c r="I145" s="19">
        <v>2.2000000000000002</v>
      </c>
      <c r="J145" s="36">
        <f>'Flow Rate Calculations'!$B$7</f>
        <v>4.0831050228310497</v>
      </c>
      <c r="K145" s="36">
        <f t="shared" si="70"/>
        <v>1.0741261942924094</v>
      </c>
      <c r="L145" s="37">
        <f>$I145*$K145/'Calculation Constants'!$B$7</f>
        <v>2091219.139330355</v>
      </c>
      <c r="M145" s="37" t="str">
        <f t="shared" si="56"/>
        <v>Greater Dynamic Pressures</v>
      </c>
      <c r="N145" s="23">
        <f t="shared" si="71"/>
        <v>159.02381488032097</v>
      </c>
      <c r="O145" s="55">
        <f t="shared" si="57"/>
        <v>157.49335075992803</v>
      </c>
      <c r="P145" s="64">
        <f>MAX(I145*1000/'Calculation Constants'!$B$14,O145*10*I145*1000/2/('Calculation Constants'!$B$12*1000*'Calculation Constants'!$B$13))</f>
        <v>13.75</v>
      </c>
      <c r="Q145" s="66">
        <f t="shared" si="58"/>
        <v>1482695.7604373412</v>
      </c>
      <c r="R145" s="27">
        <f>(1/(2*LOG(3.7*$I145/'Calculation Constants'!$B$2*1000)))^2</f>
        <v>8.4679866037394684E-3</v>
      </c>
      <c r="S145" s="19">
        <f t="shared" si="72"/>
        <v>0.45268811177167712</v>
      </c>
      <c r="T145" s="19">
        <f>IF($H145&gt;0,'Calculation Constants'!$B$9*Hydraulics!$K145^2/2/9.81/MAX($F$4:$F$253)*$H145,"")</f>
        <v>3.5282785359788842E-2</v>
      </c>
      <c r="U145" s="19">
        <f t="shared" si="73"/>
        <v>0.48797089713146596</v>
      </c>
      <c r="V145" s="19">
        <f t="shared" si="59"/>
        <v>0</v>
      </c>
      <c r="W145" s="19">
        <f t="shared" si="60"/>
        <v>159.02381488032097</v>
      </c>
      <c r="X145" s="23">
        <f t="shared" si="61"/>
        <v>1169.820814880321</v>
      </c>
      <c r="Y145" s="22">
        <f>(1/(2*LOG(3.7*$I145/'Calculation Constants'!$B$3*1000)))^2</f>
        <v>9.4904462912918219E-3</v>
      </c>
      <c r="Z145" s="19">
        <f t="shared" si="62"/>
        <v>0.50734754464280807</v>
      </c>
      <c r="AA145" s="19">
        <f>IF($H145&gt;0,'Calculation Constants'!$B$9*Hydraulics!$K145^2/2/9.81/MAX($F$4:$F$253)*$H145,"")</f>
        <v>3.5282785359788842E-2</v>
      </c>
      <c r="AB145" s="19">
        <f t="shared" si="81"/>
        <v>0.54263033000259686</v>
      </c>
      <c r="AC145" s="19">
        <f t="shared" si="63"/>
        <v>0</v>
      </c>
      <c r="AD145" s="19">
        <f t="shared" si="74"/>
        <v>157.49335075992803</v>
      </c>
      <c r="AE145" s="23">
        <f t="shared" si="64"/>
        <v>1168.2903507599281</v>
      </c>
      <c r="AF145" s="27">
        <f>(1/(2*LOG(3.7*$I145/'Calculation Constants'!$B$4*1000)))^2</f>
        <v>1.1152845500629007E-2</v>
      </c>
      <c r="AG145" s="19">
        <f t="shared" si="65"/>
        <v>0.59621735446906032</v>
      </c>
      <c r="AH145" s="19">
        <f>IF($H145&gt;0,'Calculation Constants'!$B$9*Hydraulics!$K145^2/2/9.81/MAX($F$4:$F$253)*$H145,"")</f>
        <v>3.5282785359788842E-2</v>
      </c>
      <c r="AI145" s="19">
        <f t="shared" si="75"/>
        <v>0.63150013982884912</v>
      </c>
      <c r="AJ145" s="19">
        <f t="shared" si="66"/>
        <v>0</v>
      </c>
      <c r="AK145" s="19">
        <f t="shared" si="76"/>
        <v>155.00499608479186</v>
      </c>
      <c r="AL145" s="23">
        <f t="shared" si="67"/>
        <v>1165.8019960847919</v>
      </c>
      <c r="AM145" s="22">
        <f>(1/(2*LOG(3.7*($I145-0.008)/'Calculation Constants'!$B$5*1000)))^2</f>
        <v>1.4104604303736145E-2</v>
      </c>
      <c r="AN145" s="19">
        <f t="shared" si="77"/>
        <v>0.75676661531854661</v>
      </c>
      <c r="AO145" s="19">
        <f>IF($H145&gt;0,'Calculation Constants'!$B$9*Hydraulics!$K145^2/2/9.81/MAX($F$4:$F$253)*$H145,"")</f>
        <v>3.5282785359788842E-2</v>
      </c>
      <c r="AP145" s="19">
        <f t="shared" si="78"/>
        <v>0.7920494006783354</v>
      </c>
      <c r="AQ145" s="19">
        <f t="shared" si="68"/>
        <v>0</v>
      </c>
      <c r="AR145" s="19">
        <f t="shared" si="79"/>
        <v>150.50961678100884</v>
      </c>
      <c r="AS145" s="23">
        <f t="shared" si="69"/>
        <v>1161.3066167810089</v>
      </c>
    </row>
    <row r="146" spans="5:45">
      <c r="E146" s="35" t="str">
        <f t="shared" si="55"/>
        <v/>
      </c>
      <c r="F146" s="19">
        <f>'Profile data'!A146</f>
        <v>286</v>
      </c>
      <c r="G146" s="19">
        <f>VLOOKUP(F146,'Profile data'!A146:C405,IF($B$22="Botswana 1",2,3))</f>
        <v>1014.67</v>
      </c>
      <c r="H146" s="19">
        <f t="shared" si="80"/>
        <v>2</v>
      </c>
      <c r="I146" s="19">
        <v>2.2000000000000002</v>
      </c>
      <c r="J146" s="36">
        <f>'Flow Rate Calculations'!$B$7</f>
        <v>4.0831050228310497</v>
      </c>
      <c r="K146" s="36">
        <f t="shared" si="70"/>
        <v>1.0741261942924094</v>
      </c>
      <c r="L146" s="37">
        <f>$I146*$K146/'Calculation Constants'!$B$7</f>
        <v>2091219.139330355</v>
      </c>
      <c r="M146" s="37" t="str">
        <f t="shared" si="56"/>
        <v>Greater Dynamic Pressures</v>
      </c>
      <c r="N146" s="23">
        <f t="shared" si="71"/>
        <v>154.66284398318965</v>
      </c>
      <c r="O146" s="55">
        <f t="shared" si="57"/>
        <v>153.07772042992553</v>
      </c>
      <c r="P146" s="64">
        <f>MAX(I146*1000/'Calculation Constants'!$B$14,O146*10*I146*1000/2/('Calculation Constants'!$B$12*1000*'Calculation Constants'!$B$13))</f>
        <v>13.75</v>
      </c>
      <c r="Q146" s="66">
        <f t="shared" si="58"/>
        <v>1482695.7604373412</v>
      </c>
      <c r="R146" s="27">
        <f>(1/(2*LOG(3.7*$I146/'Calculation Constants'!$B$2*1000)))^2</f>
        <v>8.4679866037394684E-3</v>
      </c>
      <c r="S146" s="19">
        <f t="shared" si="72"/>
        <v>0.45268811177167712</v>
      </c>
      <c r="T146" s="19">
        <f>IF($H146&gt;0,'Calculation Constants'!$B$9*Hydraulics!$K146^2/2/9.81/MAX($F$4:$F$253)*$H146,"")</f>
        <v>3.5282785359788842E-2</v>
      </c>
      <c r="U146" s="19">
        <f t="shared" si="73"/>
        <v>0.48797089713146596</v>
      </c>
      <c r="V146" s="19">
        <f t="shared" si="59"/>
        <v>0</v>
      </c>
      <c r="W146" s="19">
        <f t="shared" si="60"/>
        <v>154.66284398318965</v>
      </c>
      <c r="X146" s="23">
        <f t="shared" si="61"/>
        <v>1169.3328439831896</v>
      </c>
      <c r="Y146" s="22">
        <f>(1/(2*LOG(3.7*$I146/'Calculation Constants'!$B$3*1000)))^2</f>
        <v>9.4904462912918219E-3</v>
      </c>
      <c r="Z146" s="19">
        <f t="shared" si="62"/>
        <v>0.50734754464280807</v>
      </c>
      <c r="AA146" s="19">
        <f>IF($H146&gt;0,'Calculation Constants'!$B$9*Hydraulics!$K146^2/2/9.81/MAX($F$4:$F$253)*$H146,"")</f>
        <v>3.5282785359788842E-2</v>
      </c>
      <c r="AB146" s="19">
        <f t="shared" si="81"/>
        <v>0.54263033000259686</v>
      </c>
      <c r="AC146" s="19">
        <f t="shared" si="63"/>
        <v>0</v>
      </c>
      <c r="AD146" s="19">
        <f t="shared" si="74"/>
        <v>153.07772042992553</v>
      </c>
      <c r="AE146" s="23">
        <f t="shared" si="64"/>
        <v>1167.7477204299255</v>
      </c>
      <c r="AF146" s="27">
        <f>(1/(2*LOG(3.7*$I146/'Calculation Constants'!$B$4*1000)))^2</f>
        <v>1.1152845500629007E-2</v>
      </c>
      <c r="AG146" s="19">
        <f t="shared" si="65"/>
        <v>0.59621735446906032</v>
      </c>
      <c r="AH146" s="19">
        <f>IF($H146&gt;0,'Calculation Constants'!$B$9*Hydraulics!$K146^2/2/9.81/MAX($F$4:$F$253)*$H146,"")</f>
        <v>3.5282785359788842E-2</v>
      </c>
      <c r="AI146" s="19">
        <f t="shared" si="75"/>
        <v>0.63150013982884912</v>
      </c>
      <c r="AJ146" s="19">
        <f t="shared" si="66"/>
        <v>0</v>
      </c>
      <c r="AK146" s="19">
        <f t="shared" si="76"/>
        <v>150.50049594496306</v>
      </c>
      <c r="AL146" s="23">
        <f t="shared" si="67"/>
        <v>1165.170495944963</v>
      </c>
      <c r="AM146" s="22">
        <f>(1/(2*LOG(3.7*($I146-0.008)/'Calculation Constants'!$B$5*1000)))^2</f>
        <v>1.4104604303736145E-2</v>
      </c>
      <c r="AN146" s="19">
        <f t="shared" si="77"/>
        <v>0.75676661531854661</v>
      </c>
      <c r="AO146" s="19">
        <f>IF($H146&gt;0,'Calculation Constants'!$B$9*Hydraulics!$K146^2/2/9.81/MAX($F$4:$F$253)*$H146,"")</f>
        <v>3.5282785359788842E-2</v>
      </c>
      <c r="AP146" s="19">
        <f t="shared" si="78"/>
        <v>0.7920494006783354</v>
      </c>
      <c r="AQ146" s="19">
        <f t="shared" si="68"/>
        <v>0</v>
      </c>
      <c r="AR146" s="19">
        <f t="shared" si="79"/>
        <v>145.84456738033066</v>
      </c>
      <c r="AS146" s="23">
        <f t="shared" si="69"/>
        <v>1160.5145673803306</v>
      </c>
    </row>
    <row r="147" spans="5:45">
      <c r="E147" s="35" t="str">
        <f t="shared" si="55"/>
        <v/>
      </c>
      <c r="F147" s="19">
        <f>'Profile data'!A147</f>
        <v>288</v>
      </c>
      <c r="G147" s="19">
        <f>VLOOKUP(F147,'Profile data'!A147:C406,IF($B$22="Botswana 1",2,3))</f>
        <v>1017.319</v>
      </c>
      <c r="H147" s="19">
        <f t="shared" si="80"/>
        <v>2</v>
      </c>
      <c r="I147" s="19">
        <v>2.2000000000000002</v>
      </c>
      <c r="J147" s="36">
        <f>'Flow Rate Calculations'!$B$7</f>
        <v>4.0831050228310497</v>
      </c>
      <c r="K147" s="36">
        <f t="shared" si="70"/>
        <v>1.0741261942924094</v>
      </c>
      <c r="L147" s="37">
        <f>$I147*$K147/'Calculation Constants'!$B$7</f>
        <v>2091219.139330355</v>
      </c>
      <c r="M147" s="37" t="str">
        <f t="shared" si="56"/>
        <v>Greater Dynamic Pressures</v>
      </c>
      <c r="N147" s="23">
        <f t="shared" si="71"/>
        <v>151.52587308605825</v>
      </c>
      <c r="O147" s="55">
        <f t="shared" si="57"/>
        <v>149.88609009992297</v>
      </c>
      <c r="P147" s="64">
        <f>MAX(I147*1000/'Calculation Constants'!$B$14,O147*10*I147*1000/2/('Calculation Constants'!$B$12*1000*'Calculation Constants'!$B$13))</f>
        <v>13.75</v>
      </c>
      <c r="Q147" s="66">
        <f t="shared" si="58"/>
        <v>1482695.7604373412</v>
      </c>
      <c r="R147" s="27">
        <f>(1/(2*LOG(3.7*$I147/'Calculation Constants'!$B$2*1000)))^2</f>
        <v>8.4679866037394684E-3</v>
      </c>
      <c r="S147" s="19">
        <f t="shared" si="72"/>
        <v>0.45268811177167712</v>
      </c>
      <c r="T147" s="19">
        <f>IF($H147&gt;0,'Calculation Constants'!$B$9*Hydraulics!$K147^2/2/9.81/MAX($F$4:$F$253)*$H147,"")</f>
        <v>3.5282785359788842E-2</v>
      </c>
      <c r="U147" s="19">
        <f t="shared" si="73"/>
        <v>0.48797089713146596</v>
      </c>
      <c r="V147" s="19">
        <f t="shared" si="59"/>
        <v>0</v>
      </c>
      <c r="W147" s="19">
        <f t="shared" si="60"/>
        <v>151.52587308605825</v>
      </c>
      <c r="X147" s="23">
        <f t="shared" si="61"/>
        <v>1168.8448730860582</v>
      </c>
      <c r="Y147" s="22">
        <f>(1/(2*LOG(3.7*$I147/'Calculation Constants'!$B$3*1000)))^2</f>
        <v>9.4904462912918219E-3</v>
      </c>
      <c r="Z147" s="19">
        <f t="shared" si="62"/>
        <v>0.50734754464280807</v>
      </c>
      <c r="AA147" s="19">
        <f>IF($H147&gt;0,'Calculation Constants'!$B$9*Hydraulics!$K147^2/2/9.81/MAX($F$4:$F$253)*$H147,"")</f>
        <v>3.5282785359788842E-2</v>
      </c>
      <c r="AB147" s="19">
        <f t="shared" si="81"/>
        <v>0.54263033000259686</v>
      </c>
      <c r="AC147" s="19">
        <f t="shared" si="63"/>
        <v>0</v>
      </c>
      <c r="AD147" s="19">
        <f t="shared" si="74"/>
        <v>149.88609009992297</v>
      </c>
      <c r="AE147" s="23">
        <f t="shared" si="64"/>
        <v>1167.2050900999229</v>
      </c>
      <c r="AF147" s="27">
        <f>(1/(2*LOG(3.7*$I147/'Calculation Constants'!$B$4*1000)))^2</f>
        <v>1.1152845500629007E-2</v>
      </c>
      <c r="AG147" s="19">
        <f t="shared" si="65"/>
        <v>0.59621735446906032</v>
      </c>
      <c r="AH147" s="19">
        <f>IF($H147&gt;0,'Calculation Constants'!$B$9*Hydraulics!$K147^2/2/9.81/MAX($F$4:$F$253)*$H147,"")</f>
        <v>3.5282785359788842E-2</v>
      </c>
      <c r="AI147" s="19">
        <f t="shared" si="75"/>
        <v>0.63150013982884912</v>
      </c>
      <c r="AJ147" s="19">
        <f t="shared" si="66"/>
        <v>0</v>
      </c>
      <c r="AK147" s="19">
        <f t="shared" si="76"/>
        <v>147.2199958051342</v>
      </c>
      <c r="AL147" s="23">
        <f t="shared" si="67"/>
        <v>1164.5389958051342</v>
      </c>
      <c r="AM147" s="22">
        <f>(1/(2*LOG(3.7*($I147-0.008)/'Calculation Constants'!$B$5*1000)))^2</f>
        <v>1.4104604303736145E-2</v>
      </c>
      <c r="AN147" s="19">
        <f t="shared" si="77"/>
        <v>0.75676661531854661</v>
      </c>
      <c r="AO147" s="19">
        <f>IF($H147&gt;0,'Calculation Constants'!$B$9*Hydraulics!$K147^2/2/9.81/MAX($F$4:$F$253)*$H147,"")</f>
        <v>3.5282785359788842E-2</v>
      </c>
      <c r="AP147" s="19">
        <f t="shared" si="78"/>
        <v>0.7920494006783354</v>
      </c>
      <c r="AQ147" s="19">
        <f t="shared" si="68"/>
        <v>0</v>
      </c>
      <c r="AR147" s="19">
        <f t="shared" si="79"/>
        <v>142.40351797965241</v>
      </c>
      <c r="AS147" s="23">
        <f t="shared" si="69"/>
        <v>1159.7225179796524</v>
      </c>
    </row>
    <row r="148" spans="5:45">
      <c r="E148" s="35" t="str">
        <f t="shared" si="55"/>
        <v/>
      </c>
      <c r="F148" s="19">
        <f>'Profile data'!A148</f>
        <v>290</v>
      </c>
      <c r="G148" s="19">
        <f>VLOOKUP(F148,'Profile data'!A148:C407,IF($B$22="Botswana 1",2,3))</f>
        <v>1027.4590000000001</v>
      </c>
      <c r="H148" s="19">
        <f t="shared" si="80"/>
        <v>2</v>
      </c>
      <c r="I148" s="19">
        <v>2.2000000000000002</v>
      </c>
      <c r="J148" s="36">
        <f>'Flow Rate Calculations'!$B$7</f>
        <v>4.0831050228310497</v>
      </c>
      <c r="K148" s="36">
        <f t="shared" si="70"/>
        <v>1.0741261942924094</v>
      </c>
      <c r="L148" s="37">
        <f>$I148*$K148/'Calculation Constants'!$B$7</f>
        <v>2091219.139330355</v>
      </c>
      <c r="M148" s="37" t="str">
        <f t="shared" si="56"/>
        <v>Greater Dynamic Pressures</v>
      </c>
      <c r="N148" s="23">
        <f t="shared" si="71"/>
        <v>140.89790218892676</v>
      </c>
      <c r="O148" s="55">
        <f t="shared" si="57"/>
        <v>139.2034597699203</v>
      </c>
      <c r="P148" s="64">
        <f>MAX(I148*1000/'Calculation Constants'!$B$14,O148*10*I148*1000/2/('Calculation Constants'!$B$12*1000*'Calculation Constants'!$B$13))</f>
        <v>13.75</v>
      </c>
      <c r="Q148" s="66">
        <f t="shared" si="58"/>
        <v>1482695.7604373412</v>
      </c>
      <c r="R148" s="27">
        <f>(1/(2*LOG(3.7*$I148/'Calculation Constants'!$B$2*1000)))^2</f>
        <v>8.4679866037394684E-3</v>
      </c>
      <c r="S148" s="19">
        <f t="shared" si="72"/>
        <v>0.45268811177167712</v>
      </c>
      <c r="T148" s="19">
        <f>IF($H148&gt;0,'Calculation Constants'!$B$9*Hydraulics!$K148^2/2/9.81/MAX($F$4:$F$253)*$H148,"")</f>
        <v>3.5282785359788842E-2</v>
      </c>
      <c r="U148" s="19">
        <f t="shared" si="73"/>
        <v>0.48797089713146596</v>
      </c>
      <c r="V148" s="19">
        <f t="shared" si="59"/>
        <v>0</v>
      </c>
      <c r="W148" s="19">
        <f t="shared" si="60"/>
        <v>140.89790218892676</v>
      </c>
      <c r="X148" s="23">
        <f t="shared" si="61"/>
        <v>1168.3569021889268</v>
      </c>
      <c r="Y148" s="22">
        <f>(1/(2*LOG(3.7*$I148/'Calculation Constants'!$B$3*1000)))^2</f>
        <v>9.4904462912918219E-3</v>
      </c>
      <c r="Z148" s="19">
        <f t="shared" si="62"/>
        <v>0.50734754464280807</v>
      </c>
      <c r="AA148" s="19">
        <f>IF($H148&gt;0,'Calculation Constants'!$B$9*Hydraulics!$K148^2/2/9.81/MAX($F$4:$F$253)*$H148,"")</f>
        <v>3.5282785359788842E-2</v>
      </c>
      <c r="AB148" s="19">
        <f t="shared" si="81"/>
        <v>0.54263033000259686</v>
      </c>
      <c r="AC148" s="19">
        <f t="shared" si="63"/>
        <v>0</v>
      </c>
      <c r="AD148" s="19">
        <f t="shared" si="74"/>
        <v>139.2034597699203</v>
      </c>
      <c r="AE148" s="23">
        <f t="shared" si="64"/>
        <v>1166.6624597699204</v>
      </c>
      <c r="AF148" s="27">
        <f>(1/(2*LOG(3.7*$I148/'Calculation Constants'!$B$4*1000)))^2</f>
        <v>1.1152845500629007E-2</v>
      </c>
      <c r="AG148" s="19">
        <f t="shared" si="65"/>
        <v>0.59621735446906032</v>
      </c>
      <c r="AH148" s="19">
        <f>IF($H148&gt;0,'Calculation Constants'!$B$9*Hydraulics!$K148^2/2/9.81/MAX($F$4:$F$253)*$H148,"")</f>
        <v>3.5282785359788842E-2</v>
      </c>
      <c r="AI148" s="19">
        <f t="shared" si="75"/>
        <v>0.63150013982884912</v>
      </c>
      <c r="AJ148" s="19">
        <f t="shared" si="66"/>
        <v>0</v>
      </c>
      <c r="AK148" s="19">
        <f t="shared" si="76"/>
        <v>136.44849566530524</v>
      </c>
      <c r="AL148" s="23">
        <f t="shared" si="67"/>
        <v>1163.9074956653053</v>
      </c>
      <c r="AM148" s="22">
        <f>(1/(2*LOG(3.7*($I148-0.008)/'Calculation Constants'!$B$5*1000)))^2</f>
        <v>1.4104604303736145E-2</v>
      </c>
      <c r="AN148" s="19">
        <f t="shared" si="77"/>
        <v>0.75676661531854661</v>
      </c>
      <c r="AO148" s="19">
        <f>IF($H148&gt;0,'Calculation Constants'!$B$9*Hydraulics!$K148^2/2/9.81/MAX($F$4:$F$253)*$H148,"")</f>
        <v>3.5282785359788842E-2</v>
      </c>
      <c r="AP148" s="19">
        <f t="shared" si="78"/>
        <v>0.7920494006783354</v>
      </c>
      <c r="AQ148" s="19">
        <f t="shared" si="68"/>
        <v>0</v>
      </c>
      <c r="AR148" s="19">
        <f t="shared" si="79"/>
        <v>131.47146857897405</v>
      </c>
      <c r="AS148" s="23">
        <f t="shared" si="69"/>
        <v>1158.9304685789741</v>
      </c>
    </row>
    <row r="149" spans="5:45">
      <c r="E149" s="35" t="str">
        <f t="shared" si="55"/>
        <v/>
      </c>
      <c r="F149" s="19">
        <f>'Profile data'!A149</f>
        <v>292</v>
      </c>
      <c r="G149" s="19">
        <f>VLOOKUP(F149,'Profile data'!A149:C408,IF($B$22="Botswana 1",2,3))</f>
        <v>1031.99</v>
      </c>
      <c r="H149" s="19">
        <f t="shared" si="80"/>
        <v>2</v>
      </c>
      <c r="I149" s="19">
        <v>2.2000000000000002</v>
      </c>
      <c r="J149" s="36">
        <f>'Flow Rate Calculations'!$B$7</f>
        <v>4.0831050228310497</v>
      </c>
      <c r="K149" s="36">
        <f t="shared" si="70"/>
        <v>1.0741261942924094</v>
      </c>
      <c r="L149" s="37">
        <f>$I149*$K149/'Calculation Constants'!$B$7</f>
        <v>2091219.139330355</v>
      </c>
      <c r="M149" s="37" t="str">
        <f t="shared" si="56"/>
        <v>Greater Dynamic Pressures</v>
      </c>
      <c r="N149" s="23">
        <f t="shared" si="71"/>
        <v>135.87893129179542</v>
      </c>
      <c r="O149" s="55">
        <f t="shared" si="57"/>
        <v>134.12982943991778</v>
      </c>
      <c r="P149" s="64">
        <f>MAX(I149*1000/'Calculation Constants'!$B$14,O149*10*I149*1000/2/('Calculation Constants'!$B$12*1000*'Calculation Constants'!$B$13))</f>
        <v>13.75</v>
      </c>
      <c r="Q149" s="66">
        <f t="shared" si="58"/>
        <v>1482695.7604373412</v>
      </c>
      <c r="R149" s="27">
        <f>(1/(2*LOG(3.7*$I149/'Calculation Constants'!$B$2*1000)))^2</f>
        <v>8.4679866037394684E-3</v>
      </c>
      <c r="S149" s="19">
        <f t="shared" si="72"/>
        <v>0.45268811177167712</v>
      </c>
      <c r="T149" s="19">
        <f>IF($H149&gt;0,'Calculation Constants'!$B$9*Hydraulics!$K149^2/2/9.81/MAX($F$4:$F$253)*$H149,"")</f>
        <v>3.5282785359788842E-2</v>
      </c>
      <c r="U149" s="19">
        <f t="shared" si="73"/>
        <v>0.48797089713146596</v>
      </c>
      <c r="V149" s="19">
        <f t="shared" si="59"/>
        <v>0</v>
      </c>
      <c r="W149" s="19">
        <f t="shared" si="60"/>
        <v>135.87893129179542</v>
      </c>
      <c r="X149" s="23">
        <f t="shared" si="61"/>
        <v>1167.8689312917954</v>
      </c>
      <c r="Y149" s="22">
        <f>(1/(2*LOG(3.7*$I149/'Calculation Constants'!$B$3*1000)))^2</f>
        <v>9.4904462912918219E-3</v>
      </c>
      <c r="Z149" s="19">
        <f t="shared" si="62"/>
        <v>0.50734754464280807</v>
      </c>
      <c r="AA149" s="19">
        <f>IF($H149&gt;0,'Calculation Constants'!$B$9*Hydraulics!$K149^2/2/9.81/MAX($F$4:$F$253)*$H149,"")</f>
        <v>3.5282785359788842E-2</v>
      </c>
      <c r="AB149" s="19">
        <f t="shared" si="81"/>
        <v>0.54263033000259686</v>
      </c>
      <c r="AC149" s="19">
        <f t="shared" si="63"/>
        <v>0</v>
      </c>
      <c r="AD149" s="19">
        <f t="shared" si="74"/>
        <v>134.12982943991778</v>
      </c>
      <c r="AE149" s="23">
        <f t="shared" si="64"/>
        <v>1166.1198294399178</v>
      </c>
      <c r="AF149" s="27">
        <f>(1/(2*LOG(3.7*$I149/'Calculation Constants'!$B$4*1000)))^2</f>
        <v>1.1152845500629007E-2</v>
      </c>
      <c r="AG149" s="19">
        <f t="shared" si="65"/>
        <v>0.59621735446906032</v>
      </c>
      <c r="AH149" s="19">
        <f>IF($H149&gt;0,'Calculation Constants'!$B$9*Hydraulics!$K149^2/2/9.81/MAX($F$4:$F$253)*$H149,"")</f>
        <v>3.5282785359788842E-2</v>
      </c>
      <c r="AI149" s="19">
        <f t="shared" si="75"/>
        <v>0.63150013982884912</v>
      </c>
      <c r="AJ149" s="19">
        <f t="shared" si="66"/>
        <v>0</v>
      </c>
      <c r="AK149" s="19">
        <f t="shared" si="76"/>
        <v>131.28599552547644</v>
      </c>
      <c r="AL149" s="23">
        <f t="shared" si="67"/>
        <v>1163.2759955254764</v>
      </c>
      <c r="AM149" s="22">
        <f>(1/(2*LOG(3.7*($I149-0.008)/'Calculation Constants'!$B$5*1000)))^2</f>
        <v>1.4104604303736145E-2</v>
      </c>
      <c r="AN149" s="19">
        <f t="shared" si="77"/>
        <v>0.75676661531854661</v>
      </c>
      <c r="AO149" s="19">
        <f>IF($H149&gt;0,'Calculation Constants'!$B$9*Hydraulics!$K149^2/2/9.81/MAX($F$4:$F$253)*$H149,"")</f>
        <v>3.5282785359788842E-2</v>
      </c>
      <c r="AP149" s="19">
        <f t="shared" si="78"/>
        <v>0.7920494006783354</v>
      </c>
      <c r="AQ149" s="19">
        <f t="shared" si="68"/>
        <v>0</v>
      </c>
      <c r="AR149" s="19">
        <f t="shared" si="79"/>
        <v>126.14841917829585</v>
      </c>
      <c r="AS149" s="23">
        <f t="shared" si="69"/>
        <v>1158.1384191782959</v>
      </c>
    </row>
    <row r="150" spans="5:45">
      <c r="E150" s="35" t="str">
        <f t="shared" si="55"/>
        <v/>
      </c>
      <c r="F150" s="19">
        <f>'Profile data'!A150</f>
        <v>294</v>
      </c>
      <c r="G150" s="19">
        <f>VLOOKUP(F150,'Profile data'!A150:C409,IF($B$22="Botswana 1",2,3))</f>
        <v>1036.2539999999999</v>
      </c>
      <c r="H150" s="19">
        <f t="shared" si="80"/>
        <v>2</v>
      </c>
      <c r="I150" s="19">
        <v>2.2000000000000002</v>
      </c>
      <c r="J150" s="36">
        <f>'Flow Rate Calculations'!$B$7</f>
        <v>4.0831050228310497</v>
      </c>
      <c r="K150" s="36">
        <f t="shared" si="70"/>
        <v>1.0741261942924094</v>
      </c>
      <c r="L150" s="37">
        <f>$I150*$K150/'Calculation Constants'!$B$7</f>
        <v>2091219.139330355</v>
      </c>
      <c r="M150" s="37" t="str">
        <f t="shared" si="56"/>
        <v>Greater Dynamic Pressures</v>
      </c>
      <c r="N150" s="23">
        <f t="shared" si="71"/>
        <v>131.12696039466414</v>
      </c>
      <c r="O150" s="55">
        <f t="shared" si="57"/>
        <v>129.32319910991532</v>
      </c>
      <c r="P150" s="64">
        <f>MAX(I150*1000/'Calculation Constants'!$B$14,O150*10*I150*1000/2/('Calculation Constants'!$B$12*1000*'Calculation Constants'!$B$13))</f>
        <v>13.75</v>
      </c>
      <c r="Q150" s="66">
        <f t="shared" si="58"/>
        <v>1482695.7604373412</v>
      </c>
      <c r="R150" s="27">
        <f>(1/(2*LOG(3.7*$I150/'Calculation Constants'!$B$2*1000)))^2</f>
        <v>8.4679866037394684E-3</v>
      </c>
      <c r="S150" s="19">
        <f t="shared" si="72"/>
        <v>0.45268811177167712</v>
      </c>
      <c r="T150" s="19">
        <f>IF($H150&gt;0,'Calculation Constants'!$B$9*Hydraulics!$K150^2/2/9.81/MAX($F$4:$F$253)*$H150,"")</f>
        <v>3.5282785359788842E-2</v>
      </c>
      <c r="U150" s="19">
        <f t="shared" si="73"/>
        <v>0.48797089713146596</v>
      </c>
      <c r="V150" s="19">
        <f t="shared" si="59"/>
        <v>0</v>
      </c>
      <c r="W150" s="19">
        <f t="shared" si="60"/>
        <v>131.12696039466414</v>
      </c>
      <c r="X150" s="23">
        <f t="shared" si="61"/>
        <v>1167.380960394664</v>
      </c>
      <c r="Y150" s="22">
        <f>(1/(2*LOG(3.7*$I150/'Calculation Constants'!$B$3*1000)))^2</f>
        <v>9.4904462912918219E-3</v>
      </c>
      <c r="Z150" s="19">
        <f t="shared" si="62"/>
        <v>0.50734754464280807</v>
      </c>
      <c r="AA150" s="19">
        <f>IF($H150&gt;0,'Calculation Constants'!$B$9*Hydraulics!$K150^2/2/9.81/MAX($F$4:$F$253)*$H150,"")</f>
        <v>3.5282785359788842E-2</v>
      </c>
      <c r="AB150" s="19">
        <f t="shared" si="81"/>
        <v>0.54263033000259686</v>
      </c>
      <c r="AC150" s="19">
        <f t="shared" si="63"/>
        <v>0</v>
      </c>
      <c r="AD150" s="19">
        <f t="shared" si="74"/>
        <v>129.32319910991532</v>
      </c>
      <c r="AE150" s="23">
        <f t="shared" si="64"/>
        <v>1165.5771991099152</v>
      </c>
      <c r="AF150" s="27">
        <f>(1/(2*LOG(3.7*$I150/'Calculation Constants'!$B$4*1000)))^2</f>
        <v>1.1152845500629007E-2</v>
      </c>
      <c r="AG150" s="19">
        <f t="shared" si="65"/>
        <v>0.59621735446906032</v>
      </c>
      <c r="AH150" s="19">
        <f>IF($H150&gt;0,'Calculation Constants'!$B$9*Hydraulics!$K150^2/2/9.81/MAX($F$4:$F$253)*$H150,"")</f>
        <v>3.5282785359788842E-2</v>
      </c>
      <c r="AI150" s="19">
        <f t="shared" si="75"/>
        <v>0.63150013982884912</v>
      </c>
      <c r="AJ150" s="19">
        <f t="shared" si="66"/>
        <v>0</v>
      </c>
      <c r="AK150" s="19">
        <f t="shared" si="76"/>
        <v>126.39049538564768</v>
      </c>
      <c r="AL150" s="23">
        <f t="shared" si="67"/>
        <v>1162.6444953856476</v>
      </c>
      <c r="AM150" s="22">
        <f>(1/(2*LOG(3.7*($I150-0.008)/'Calculation Constants'!$B$5*1000)))^2</f>
        <v>1.4104604303736145E-2</v>
      </c>
      <c r="AN150" s="19">
        <f t="shared" si="77"/>
        <v>0.75676661531854661</v>
      </c>
      <c r="AO150" s="19">
        <f>IF($H150&gt;0,'Calculation Constants'!$B$9*Hydraulics!$K150^2/2/9.81/MAX($F$4:$F$253)*$H150,"")</f>
        <v>3.5282785359788842E-2</v>
      </c>
      <c r="AP150" s="19">
        <f t="shared" si="78"/>
        <v>0.7920494006783354</v>
      </c>
      <c r="AQ150" s="19">
        <f t="shared" si="68"/>
        <v>0</v>
      </c>
      <c r="AR150" s="19">
        <f t="shared" si="79"/>
        <v>121.09236977761771</v>
      </c>
      <c r="AS150" s="23">
        <f t="shared" si="69"/>
        <v>1157.3463697776176</v>
      </c>
    </row>
    <row r="151" spans="5:45">
      <c r="E151" s="35" t="str">
        <f t="shared" si="55"/>
        <v/>
      </c>
      <c r="F151" s="19">
        <f>'Profile data'!A151</f>
        <v>296</v>
      </c>
      <c r="G151" s="19">
        <f>VLOOKUP(F151,'Profile data'!A151:C410,IF($B$22="Botswana 1",2,3))</f>
        <v>1040.127</v>
      </c>
      <c r="H151" s="19">
        <f t="shared" si="80"/>
        <v>2</v>
      </c>
      <c r="I151" s="19">
        <v>2.2000000000000002</v>
      </c>
      <c r="J151" s="36">
        <f>'Flow Rate Calculations'!$B$7</f>
        <v>4.0831050228310497</v>
      </c>
      <c r="K151" s="36">
        <f t="shared" si="70"/>
        <v>1.0741261942924094</v>
      </c>
      <c r="L151" s="37">
        <f>$I151*$K151/'Calculation Constants'!$B$7</f>
        <v>2091219.139330355</v>
      </c>
      <c r="M151" s="37" t="str">
        <f t="shared" si="56"/>
        <v>Greater Dynamic Pressures</v>
      </c>
      <c r="N151" s="23">
        <f t="shared" si="71"/>
        <v>126.7659894975327</v>
      </c>
      <c r="O151" s="55">
        <f t="shared" si="57"/>
        <v>124.90756877991271</v>
      </c>
      <c r="P151" s="64">
        <f>MAX(I151*1000/'Calculation Constants'!$B$14,O151*10*I151*1000/2/('Calculation Constants'!$B$12*1000*'Calculation Constants'!$B$13))</f>
        <v>13.75</v>
      </c>
      <c r="Q151" s="66">
        <f t="shared" si="58"/>
        <v>1482695.7604373412</v>
      </c>
      <c r="R151" s="27">
        <f>(1/(2*LOG(3.7*$I151/'Calculation Constants'!$B$2*1000)))^2</f>
        <v>8.4679866037394684E-3</v>
      </c>
      <c r="S151" s="19">
        <f t="shared" si="72"/>
        <v>0.45268811177167712</v>
      </c>
      <c r="T151" s="19">
        <f>IF($H151&gt;0,'Calculation Constants'!$B$9*Hydraulics!$K151^2/2/9.81/MAX($F$4:$F$253)*$H151,"")</f>
        <v>3.5282785359788842E-2</v>
      </c>
      <c r="U151" s="19">
        <f t="shared" si="73"/>
        <v>0.48797089713146596</v>
      </c>
      <c r="V151" s="19">
        <f t="shared" si="59"/>
        <v>0</v>
      </c>
      <c r="W151" s="19">
        <f t="shared" si="60"/>
        <v>126.7659894975327</v>
      </c>
      <c r="X151" s="23">
        <f t="shared" si="61"/>
        <v>1166.8929894975327</v>
      </c>
      <c r="Y151" s="22">
        <f>(1/(2*LOG(3.7*$I151/'Calculation Constants'!$B$3*1000)))^2</f>
        <v>9.4904462912918219E-3</v>
      </c>
      <c r="Z151" s="19">
        <f t="shared" si="62"/>
        <v>0.50734754464280807</v>
      </c>
      <c r="AA151" s="19">
        <f>IF($H151&gt;0,'Calculation Constants'!$B$9*Hydraulics!$K151^2/2/9.81/MAX($F$4:$F$253)*$H151,"")</f>
        <v>3.5282785359788842E-2</v>
      </c>
      <c r="AB151" s="19">
        <f t="shared" si="81"/>
        <v>0.54263033000259686</v>
      </c>
      <c r="AC151" s="19">
        <f t="shared" si="63"/>
        <v>0</v>
      </c>
      <c r="AD151" s="19">
        <f t="shared" si="74"/>
        <v>124.90756877991271</v>
      </c>
      <c r="AE151" s="23">
        <f t="shared" si="64"/>
        <v>1165.0345687799127</v>
      </c>
      <c r="AF151" s="27">
        <f>(1/(2*LOG(3.7*$I151/'Calculation Constants'!$B$4*1000)))^2</f>
        <v>1.1152845500629007E-2</v>
      </c>
      <c r="AG151" s="19">
        <f t="shared" si="65"/>
        <v>0.59621735446906032</v>
      </c>
      <c r="AH151" s="19">
        <f>IF($H151&gt;0,'Calculation Constants'!$B$9*Hydraulics!$K151^2/2/9.81/MAX($F$4:$F$253)*$H151,"")</f>
        <v>3.5282785359788842E-2</v>
      </c>
      <c r="AI151" s="19">
        <f t="shared" si="75"/>
        <v>0.63150013982884912</v>
      </c>
      <c r="AJ151" s="19">
        <f t="shared" si="66"/>
        <v>0</v>
      </c>
      <c r="AK151" s="19">
        <f t="shared" si="76"/>
        <v>121.88599524581878</v>
      </c>
      <c r="AL151" s="23">
        <f t="shared" si="67"/>
        <v>1162.0129952458187</v>
      </c>
      <c r="AM151" s="22">
        <f>(1/(2*LOG(3.7*($I151-0.008)/'Calculation Constants'!$B$5*1000)))^2</f>
        <v>1.4104604303736145E-2</v>
      </c>
      <c r="AN151" s="19">
        <f t="shared" si="77"/>
        <v>0.75676661531854661</v>
      </c>
      <c r="AO151" s="19">
        <f>IF($H151&gt;0,'Calculation Constants'!$B$9*Hydraulics!$K151^2/2/9.81/MAX($F$4:$F$253)*$H151,"")</f>
        <v>3.5282785359788842E-2</v>
      </c>
      <c r="AP151" s="19">
        <f t="shared" si="78"/>
        <v>0.7920494006783354</v>
      </c>
      <c r="AQ151" s="19">
        <f t="shared" si="68"/>
        <v>0</v>
      </c>
      <c r="AR151" s="19">
        <f t="shared" si="79"/>
        <v>116.42732037693941</v>
      </c>
      <c r="AS151" s="23">
        <f t="shared" si="69"/>
        <v>1156.5543203769394</v>
      </c>
    </row>
    <row r="152" spans="5:45">
      <c r="E152" s="35" t="str">
        <f t="shared" si="55"/>
        <v/>
      </c>
      <c r="F152" s="19">
        <f>'Profile data'!A152</f>
        <v>298</v>
      </c>
      <c r="G152" s="19">
        <f>VLOOKUP(F152,'Profile data'!A152:C411,IF($B$22="Botswana 1",2,3))</f>
        <v>1044.396</v>
      </c>
      <c r="H152" s="19">
        <f t="shared" si="80"/>
        <v>2</v>
      </c>
      <c r="I152" s="19">
        <v>2.2000000000000002</v>
      </c>
      <c r="J152" s="36">
        <f>'Flow Rate Calculations'!$B$7</f>
        <v>4.0831050228310497</v>
      </c>
      <c r="K152" s="36">
        <f t="shared" si="70"/>
        <v>1.0741261942924094</v>
      </c>
      <c r="L152" s="37">
        <f>$I152*$K152/'Calculation Constants'!$B$7</f>
        <v>2091219.139330355</v>
      </c>
      <c r="M152" s="37" t="str">
        <f t="shared" si="56"/>
        <v>Greater Dynamic Pressures</v>
      </c>
      <c r="N152" s="23">
        <f t="shared" si="71"/>
        <v>122.0090186004013</v>
      </c>
      <c r="O152" s="55">
        <f t="shared" si="57"/>
        <v>120.09593844991014</v>
      </c>
      <c r="P152" s="64">
        <f>MAX(I152*1000/'Calculation Constants'!$B$14,O152*10*I152*1000/2/('Calculation Constants'!$B$12*1000*'Calculation Constants'!$B$13))</f>
        <v>13.75</v>
      </c>
      <c r="Q152" s="66">
        <f t="shared" si="58"/>
        <v>1482695.7604373412</v>
      </c>
      <c r="R152" s="27">
        <f>(1/(2*LOG(3.7*$I152/'Calculation Constants'!$B$2*1000)))^2</f>
        <v>8.4679866037394684E-3</v>
      </c>
      <c r="S152" s="19">
        <f t="shared" si="72"/>
        <v>0.45268811177167712</v>
      </c>
      <c r="T152" s="19">
        <f>IF($H152&gt;0,'Calculation Constants'!$B$9*Hydraulics!$K152^2/2/9.81/MAX($F$4:$F$253)*$H152,"")</f>
        <v>3.5282785359788842E-2</v>
      </c>
      <c r="U152" s="19">
        <f t="shared" si="73"/>
        <v>0.48797089713146596</v>
      </c>
      <c r="V152" s="19">
        <f t="shared" si="59"/>
        <v>0</v>
      </c>
      <c r="W152" s="19">
        <f t="shared" si="60"/>
        <v>122.0090186004013</v>
      </c>
      <c r="X152" s="23">
        <f t="shared" si="61"/>
        <v>1166.4050186004013</v>
      </c>
      <c r="Y152" s="22">
        <f>(1/(2*LOG(3.7*$I152/'Calculation Constants'!$B$3*1000)))^2</f>
        <v>9.4904462912918219E-3</v>
      </c>
      <c r="Z152" s="19">
        <f t="shared" si="62"/>
        <v>0.50734754464280807</v>
      </c>
      <c r="AA152" s="19">
        <f>IF($H152&gt;0,'Calculation Constants'!$B$9*Hydraulics!$K152^2/2/9.81/MAX($F$4:$F$253)*$H152,"")</f>
        <v>3.5282785359788842E-2</v>
      </c>
      <c r="AB152" s="19">
        <f t="shared" si="81"/>
        <v>0.54263033000259686</v>
      </c>
      <c r="AC152" s="19">
        <f t="shared" si="63"/>
        <v>0</v>
      </c>
      <c r="AD152" s="19">
        <f t="shared" si="74"/>
        <v>120.09593844991014</v>
      </c>
      <c r="AE152" s="23">
        <f t="shared" si="64"/>
        <v>1164.4919384499101</v>
      </c>
      <c r="AF152" s="27">
        <f>(1/(2*LOG(3.7*$I152/'Calculation Constants'!$B$4*1000)))^2</f>
        <v>1.1152845500629007E-2</v>
      </c>
      <c r="AG152" s="19">
        <f t="shared" si="65"/>
        <v>0.59621735446906032</v>
      </c>
      <c r="AH152" s="19">
        <f>IF($H152&gt;0,'Calculation Constants'!$B$9*Hydraulics!$K152^2/2/9.81/MAX($F$4:$F$253)*$H152,"")</f>
        <v>3.5282785359788842E-2</v>
      </c>
      <c r="AI152" s="19">
        <f t="shared" si="75"/>
        <v>0.63150013982884912</v>
      </c>
      <c r="AJ152" s="19">
        <f t="shared" si="66"/>
        <v>0</v>
      </c>
      <c r="AK152" s="19">
        <f t="shared" si="76"/>
        <v>116.98549510598991</v>
      </c>
      <c r="AL152" s="23">
        <f t="shared" si="67"/>
        <v>1161.3814951059899</v>
      </c>
      <c r="AM152" s="22">
        <f>(1/(2*LOG(3.7*($I152-0.008)/'Calculation Constants'!$B$5*1000)))^2</f>
        <v>1.4104604303736145E-2</v>
      </c>
      <c r="AN152" s="19">
        <f t="shared" si="77"/>
        <v>0.75676661531854661</v>
      </c>
      <c r="AO152" s="19">
        <f>IF($H152&gt;0,'Calculation Constants'!$B$9*Hydraulics!$K152^2/2/9.81/MAX($F$4:$F$253)*$H152,"")</f>
        <v>3.5282785359788842E-2</v>
      </c>
      <c r="AP152" s="19">
        <f t="shared" si="78"/>
        <v>0.7920494006783354</v>
      </c>
      <c r="AQ152" s="19">
        <f t="shared" si="68"/>
        <v>0</v>
      </c>
      <c r="AR152" s="19">
        <f t="shared" si="79"/>
        <v>111.36627097626115</v>
      </c>
      <c r="AS152" s="23">
        <f t="shared" si="69"/>
        <v>1155.7622709762611</v>
      </c>
    </row>
    <row r="153" spans="5:45">
      <c r="E153" s="35" t="str">
        <f t="shared" si="55"/>
        <v/>
      </c>
      <c r="F153" s="19">
        <f>'Profile data'!A153</f>
        <v>300</v>
      </c>
      <c r="G153" s="19">
        <f>VLOOKUP(F153,'Profile data'!A153:C412,IF($B$22="Botswana 1",2,3))</f>
        <v>1051.3389999999999</v>
      </c>
      <c r="H153" s="19">
        <f t="shared" si="80"/>
        <v>2</v>
      </c>
      <c r="I153" s="19">
        <v>2.2000000000000002</v>
      </c>
      <c r="J153" s="36">
        <f>'Flow Rate Calculations'!$B$7</f>
        <v>4.0831050228310497</v>
      </c>
      <c r="K153" s="36">
        <f t="shared" si="70"/>
        <v>1.0741261942924094</v>
      </c>
      <c r="L153" s="37">
        <f>$I153*$K153/'Calculation Constants'!$B$7</f>
        <v>2091219.139330355</v>
      </c>
      <c r="M153" s="37" t="str">
        <f t="shared" si="56"/>
        <v>Greater Dynamic Pressures</v>
      </c>
      <c r="N153" s="23">
        <f t="shared" si="71"/>
        <v>114.57804770326993</v>
      </c>
      <c r="O153" s="55">
        <f t="shared" si="57"/>
        <v>112.61030811990759</v>
      </c>
      <c r="P153" s="64">
        <f>MAX(I153*1000/'Calculation Constants'!$B$14,O153*10*I153*1000/2/('Calculation Constants'!$B$12*1000*'Calculation Constants'!$B$13))</f>
        <v>13.75</v>
      </c>
      <c r="Q153" s="66">
        <f t="shared" si="58"/>
        <v>1482695.7604373412</v>
      </c>
      <c r="R153" s="27">
        <f>(1/(2*LOG(3.7*$I153/'Calculation Constants'!$B$2*1000)))^2</f>
        <v>8.4679866037394684E-3</v>
      </c>
      <c r="S153" s="19">
        <f t="shared" si="72"/>
        <v>0.45268811177167712</v>
      </c>
      <c r="T153" s="19">
        <f>IF($H153&gt;0,'Calculation Constants'!$B$9*Hydraulics!$K153^2/2/9.81/MAX($F$4:$F$253)*$H153,"")</f>
        <v>3.5282785359788842E-2</v>
      </c>
      <c r="U153" s="19">
        <f t="shared" si="73"/>
        <v>0.48797089713146596</v>
      </c>
      <c r="V153" s="19">
        <f t="shared" si="59"/>
        <v>0</v>
      </c>
      <c r="W153" s="19">
        <f t="shared" si="60"/>
        <v>114.57804770326993</v>
      </c>
      <c r="X153" s="23">
        <f t="shared" si="61"/>
        <v>1165.9170477032699</v>
      </c>
      <c r="Y153" s="22">
        <f>(1/(2*LOG(3.7*$I153/'Calculation Constants'!$B$3*1000)))^2</f>
        <v>9.4904462912918219E-3</v>
      </c>
      <c r="Z153" s="19">
        <f t="shared" si="62"/>
        <v>0.50734754464280807</v>
      </c>
      <c r="AA153" s="19">
        <f>IF($H153&gt;0,'Calculation Constants'!$B$9*Hydraulics!$K153^2/2/9.81/MAX($F$4:$F$253)*$H153,"")</f>
        <v>3.5282785359788842E-2</v>
      </c>
      <c r="AB153" s="19">
        <f t="shared" si="81"/>
        <v>0.54263033000259686</v>
      </c>
      <c r="AC153" s="19">
        <f t="shared" si="63"/>
        <v>0</v>
      </c>
      <c r="AD153" s="19">
        <f t="shared" si="74"/>
        <v>112.61030811990759</v>
      </c>
      <c r="AE153" s="23">
        <f t="shared" si="64"/>
        <v>1163.9493081199075</v>
      </c>
      <c r="AF153" s="27">
        <f>(1/(2*LOG(3.7*$I153/'Calculation Constants'!$B$4*1000)))^2</f>
        <v>1.1152845500629007E-2</v>
      </c>
      <c r="AG153" s="19">
        <f t="shared" si="65"/>
        <v>0.59621735446906032</v>
      </c>
      <c r="AH153" s="19">
        <f>IF($H153&gt;0,'Calculation Constants'!$B$9*Hydraulics!$K153^2/2/9.81/MAX($F$4:$F$253)*$H153,"")</f>
        <v>3.5282785359788842E-2</v>
      </c>
      <c r="AI153" s="19">
        <f t="shared" si="75"/>
        <v>0.63150013982884912</v>
      </c>
      <c r="AJ153" s="19">
        <f t="shared" si="66"/>
        <v>0</v>
      </c>
      <c r="AK153" s="19">
        <f t="shared" si="76"/>
        <v>109.41099496616107</v>
      </c>
      <c r="AL153" s="23">
        <f t="shared" si="67"/>
        <v>1160.749994966161</v>
      </c>
      <c r="AM153" s="22">
        <f>(1/(2*LOG(3.7*($I153-0.008)/'Calculation Constants'!$B$5*1000)))^2</f>
        <v>1.4104604303736145E-2</v>
      </c>
      <c r="AN153" s="19">
        <f t="shared" si="77"/>
        <v>0.75676661531854661</v>
      </c>
      <c r="AO153" s="19">
        <f>IF($H153&gt;0,'Calculation Constants'!$B$9*Hydraulics!$K153^2/2/9.81/MAX($F$4:$F$253)*$H153,"")</f>
        <v>3.5282785359788842E-2</v>
      </c>
      <c r="AP153" s="19">
        <f t="shared" si="78"/>
        <v>0.7920494006783354</v>
      </c>
      <c r="AQ153" s="19">
        <f t="shared" si="68"/>
        <v>0</v>
      </c>
      <c r="AR153" s="19">
        <f t="shared" si="79"/>
        <v>103.63122157558291</v>
      </c>
      <c r="AS153" s="23">
        <f t="shared" si="69"/>
        <v>1154.9702215755829</v>
      </c>
    </row>
    <row r="154" spans="5:45">
      <c r="E154" s="35" t="str">
        <f t="shared" si="55"/>
        <v/>
      </c>
      <c r="F154" s="19">
        <f>'Profile data'!A154</f>
        <v>302</v>
      </c>
      <c r="G154" s="19">
        <f>VLOOKUP(F154,'Profile data'!A154:C413,IF($B$22="Botswana 1",2,3))</f>
        <v>1060.9549999999999</v>
      </c>
      <c r="H154" s="19">
        <f t="shared" si="80"/>
        <v>2</v>
      </c>
      <c r="I154" s="19">
        <v>2.2000000000000002</v>
      </c>
      <c r="J154" s="36">
        <f>'Flow Rate Calculations'!$B$7</f>
        <v>4.0831050228310497</v>
      </c>
      <c r="K154" s="36">
        <f t="shared" si="70"/>
        <v>1.0741261942924094</v>
      </c>
      <c r="L154" s="37">
        <f>$I154*$K154/'Calculation Constants'!$B$7</f>
        <v>2091219.139330355</v>
      </c>
      <c r="M154" s="37" t="str">
        <f t="shared" si="56"/>
        <v>Greater Dynamic Pressures</v>
      </c>
      <c r="N154" s="23">
        <f t="shared" si="71"/>
        <v>104.47407680613856</v>
      </c>
      <c r="O154" s="55">
        <f t="shared" si="57"/>
        <v>102.45167778990503</v>
      </c>
      <c r="P154" s="64">
        <f>MAX(I154*1000/'Calculation Constants'!$B$14,O154*10*I154*1000/2/('Calculation Constants'!$B$12*1000*'Calculation Constants'!$B$13))</f>
        <v>13.75</v>
      </c>
      <c r="Q154" s="66">
        <f t="shared" si="58"/>
        <v>1482695.7604373412</v>
      </c>
      <c r="R154" s="27">
        <f>(1/(2*LOG(3.7*$I154/'Calculation Constants'!$B$2*1000)))^2</f>
        <v>8.4679866037394684E-3</v>
      </c>
      <c r="S154" s="19">
        <f t="shared" si="72"/>
        <v>0.45268811177167712</v>
      </c>
      <c r="T154" s="19">
        <f>IF($H154&gt;0,'Calculation Constants'!$B$9*Hydraulics!$K154^2/2/9.81/MAX($F$4:$F$253)*$H154,"")</f>
        <v>3.5282785359788842E-2</v>
      </c>
      <c r="U154" s="19">
        <f t="shared" si="73"/>
        <v>0.48797089713146596</v>
      </c>
      <c r="V154" s="19">
        <f t="shared" si="59"/>
        <v>0</v>
      </c>
      <c r="W154" s="19">
        <f t="shared" si="60"/>
        <v>104.47407680613856</v>
      </c>
      <c r="X154" s="23">
        <f t="shared" si="61"/>
        <v>1165.4290768061385</v>
      </c>
      <c r="Y154" s="22">
        <f>(1/(2*LOG(3.7*$I154/'Calculation Constants'!$B$3*1000)))^2</f>
        <v>9.4904462912918219E-3</v>
      </c>
      <c r="Z154" s="19">
        <f t="shared" si="62"/>
        <v>0.50734754464280807</v>
      </c>
      <c r="AA154" s="19">
        <f>IF($H154&gt;0,'Calculation Constants'!$B$9*Hydraulics!$K154^2/2/9.81/MAX($F$4:$F$253)*$H154,"")</f>
        <v>3.5282785359788842E-2</v>
      </c>
      <c r="AB154" s="19">
        <f t="shared" si="81"/>
        <v>0.54263033000259686</v>
      </c>
      <c r="AC154" s="19">
        <f t="shared" si="63"/>
        <v>0</v>
      </c>
      <c r="AD154" s="19">
        <f t="shared" si="74"/>
        <v>102.45167778990503</v>
      </c>
      <c r="AE154" s="23">
        <f t="shared" si="64"/>
        <v>1163.406677789905</v>
      </c>
      <c r="AF154" s="27">
        <f>(1/(2*LOG(3.7*$I154/'Calculation Constants'!$B$4*1000)))^2</f>
        <v>1.1152845500629007E-2</v>
      </c>
      <c r="AG154" s="19">
        <f t="shared" si="65"/>
        <v>0.59621735446906032</v>
      </c>
      <c r="AH154" s="19">
        <f>IF($H154&gt;0,'Calculation Constants'!$B$9*Hydraulics!$K154^2/2/9.81/MAX($F$4:$F$253)*$H154,"")</f>
        <v>3.5282785359788842E-2</v>
      </c>
      <c r="AI154" s="19">
        <f t="shared" si="75"/>
        <v>0.63150013982884912</v>
      </c>
      <c r="AJ154" s="19">
        <f t="shared" si="66"/>
        <v>0</v>
      </c>
      <c r="AK154" s="19">
        <f t="shared" si="76"/>
        <v>99.163494826332226</v>
      </c>
      <c r="AL154" s="23">
        <f t="shared" si="67"/>
        <v>1160.1184948263322</v>
      </c>
      <c r="AM154" s="22">
        <f>(1/(2*LOG(3.7*($I154-0.008)/'Calculation Constants'!$B$5*1000)))^2</f>
        <v>1.4104604303736145E-2</v>
      </c>
      <c r="AN154" s="19">
        <f t="shared" si="77"/>
        <v>0.75676661531854661</v>
      </c>
      <c r="AO154" s="19">
        <f>IF($H154&gt;0,'Calculation Constants'!$B$9*Hydraulics!$K154^2/2/9.81/MAX($F$4:$F$253)*$H154,"")</f>
        <v>3.5282785359788842E-2</v>
      </c>
      <c r="AP154" s="19">
        <f t="shared" si="78"/>
        <v>0.7920494006783354</v>
      </c>
      <c r="AQ154" s="19">
        <f t="shared" si="68"/>
        <v>0</v>
      </c>
      <c r="AR154" s="19">
        <f t="shared" si="79"/>
        <v>93.223172174904676</v>
      </c>
      <c r="AS154" s="23">
        <f t="shared" si="69"/>
        <v>1154.1781721749046</v>
      </c>
    </row>
    <row r="155" spans="5:45">
      <c r="E155" s="35" t="str">
        <f t="shared" si="55"/>
        <v/>
      </c>
      <c r="F155" s="19">
        <f>'Profile data'!A155</f>
        <v>304</v>
      </c>
      <c r="G155" s="19">
        <f>VLOOKUP(F155,'Profile data'!A155:C414,IF($B$22="Botswana 1",2,3))</f>
        <v>1070.2270000000001</v>
      </c>
      <c r="H155" s="19">
        <f t="shared" si="80"/>
        <v>2</v>
      </c>
      <c r="I155" s="19">
        <v>2.2000000000000002</v>
      </c>
      <c r="J155" s="36">
        <f>'Flow Rate Calculations'!$B$7</f>
        <v>4.0831050228310497</v>
      </c>
      <c r="K155" s="36">
        <f t="shared" si="70"/>
        <v>1.0741261942924094</v>
      </c>
      <c r="L155" s="37">
        <f>$I155*$K155/'Calculation Constants'!$B$7</f>
        <v>2091219.139330355</v>
      </c>
      <c r="M155" s="37" t="str">
        <f t="shared" si="56"/>
        <v>Greater Dynamic Pressures</v>
      </c>
      <c r="N155" s="23">
        <f t="shared" si="71"/>
        <v>94.714105909007003</v>
      </c>
      <c r="O155" s="55">
        <f t="shared" si="57"/>
        <v>92.637047459902305</v>
      </c>
      <c r="P155" s="64">
        <f>MAX(I155*1000/'Calculation Constants'!$B$14,O155*10*I155*1000/2/('Calculation Constants'!$B$12*1000*'Calculation Constants'!$B$13))</f>
        <v>13.75</v>
      </c>
      <c r="Q155" s="66">
        <f t="shared" si="58"/>
        <v>1482695.7604373412</v>
      </c>
      <c r="R155" s="27">
        <f>(1/(2*LOG(3.7*$I155/'Calculation Constants'!$B$2*1000)))^2</f>
        <v>8.4679866037394684E-3</v>
      </c>
      <c r="S155" s="19">
        <f t="shared" si="72"/>
        <v>0.45268811177167712</v>
      </c>
      <c r="T155" s="19">
        <f>IF($H155&gt;0,'Calculation Constants'!$B$9*Hydraulics!$K155^2/2/9.81/MAX($F$4:$F$253)*$H155,"")</f>
        <v>3.5282785359788842E-2</v>
      </c>
      <c r="U155" s="19">
        <f t="shared" si="73"/>
        <v>0.48797089713146596</v>
      </c>
      <c r="V155" s="19">
        <f t="shared" si="59"/>
        <v>0</v>
      </c>
      <c r="W155" s="19">
        <f t="shared" si="60"/>
        <v>94.714105909007003</v>
      </c>
      <c r="X155" s="23">
        <f t="shared" si="61"/>
        <v>1164.9411059090071</v>
      </c>
      <c r="Y155" s="22">
        <f>(1/(2*LOG(3.7*$I155/'Calculation Constants'!$B$3*1000)))^2</f>
        <v>9.4904462912918219E-3</v>
      </c>
      <c r="Z155" s="19">
        <f t="shared" si="62"/>
        <v>0.50734754464280807</v>
      </c>
      <c r="AA155" s="19">
        <f>IF($H155&gt;0,'Calculation Constants'!$B$9*Hydraulics!$K155^2/2/9.81/MAX($F$4:$F$253)*$H155,"")</f>
        <v>3.5282785359788842E-2</v>
      </c>
      <c r="AB155" s="19">
        <f t="shared" si="81"/>
        <v>0.54263033000259686</v>
      </c>
      <c r="AC155" s="19">
        <f t="shared" si="63"/>
        <v>0</v>
      </c>
      <c r="AD155" s="19">
        <f t="shared" si="74"/>
        <v>92.637047459902305</v>
      </c>
      <c r="AE155" s="23">
        <f t="shared" si="64"/>
        <v>1162.8640474599024</v>
      </c>
      <c r="AF155" s="27">
        <f>(1/(2*LOG(3.7*$I155/'Calculation Constants'!$B$4*1000)))^2</f>
        <v>1.1152845500629007E-2</v>
      </c>
      <c r="AG155" s="19">
        <f t="shared" si="65"/>
        <v>0.59621735446906032</v>
      </c>
      <c r="AH155" s="19">
        <f>IF($H155&gt;0,'Calculation Constants'!$B$9*Hydraulics!$K155^2/2/9.81/MAX($F$4:$F$253)*$H155,"")</f>
        <v>3.5282785359788842E-2</v>
      </c>
      <c r="AI155" s="19">
        <f t="shared" si="75"/>
        <v>0.63150013982884912</v>
      </c>
      <c r="AJ155" s="19">
        <f t="shared" si="66"/>
        <v>0</v>
      </c>
      <c r="AK155" s="19">
        <f t="shared" si="76"/>
        <v>89.259994686503205</v>
      </c>
      <c r="AL155" s="23">
        <f t="shared" si="67"/>
        <v>1159.4869946865033</v>
      </c>
      <c r="AM155" s="22">
        <f>(1/(2*LOG(3.7*($I155-0.008)/'Calculation Constants'!$B$5*1000)))^2</f>
        <v>1.4104604303736145E-2</v>
      </c>
      <c r="AN155" s="19">
        <f t="shared" si="77"/>
        <v>0.75676661531854661</v>
      </c>
      <c r="AO155" s="19">
        <f>IF($H155&gt;0,'Calculation Constants'!$B$9*Hydraulics!$K155^2/2/9.81/MAX($F$4:$F$253)*$H155,"")</f>
        <v>3.5282785359788842E-2</v>
      </c>
      <c r="AP155" s="19">
        <f t="shared" si="78"/>
        <v>0.7920494006783354</v>
      </c>
      <c r="AQ155" s="19">
        <f t="shared" si="68"/>
        <v>0</v>
      </c>
      <c r="AR155" s="19">
        <f t="shared" si="79"/>
        <v>83.159122774226262</v>
      </c>
      <c r="AS155" s="23">
        <f t="shared" si="69"/>
        <v>1153.3861227742264</v>
      </c>
    </row>
    <row r="156" spans="5:45">
      <c r="E156" s="35" t="str">
        <f t="shared" si="55"/>
        <v/>
      </c>
      <c r="F156" s="19">
        <f>'Profile data'!A156</f>
        <v>306</v>
      </c>
      <c r="G156" s="19">
        <f>VLOOKUP(F156,'Profile data'!A156:C415,IF($B$22="Botswana 1",2,3))</f>
        <v>1072.691</v>
      </c>
      <c r="H156" s="19">
        <f t="shared" si="80"/>
        <v>2</v>
      </c>
      <c r="I156" s="19">
        <v>2.2000000000000002</v>
      </c>
      <c r="J156" s="36">
        <f>'Flow Rate Calculations'!$B$7</f>
        <v>4.0831050228310497</v>
      </c>
      <c r="K156" s="36">
        <f t="shared" si="70"/>
        <v>1.0741261942924094</v>
      </c>
      <c r="L156" s="37">
        <f>$I156*$K156/'Calculation Constants'!$B$7</f>
        <v>2091219.139330355</v>
      </c>
      <c r="M156" s="37" t="str">
        <f t="shared" si="56"/>
        <v>Greater Dynamic Pressures</v>
      </c>
      <c r="N156" s="23">
        <f t="shared" si="71"/>
        <v>91.762135011875671</v>
      </c>
      <c r="O156" s="55">
        <f t="shared" si="57"/>
        <v>89.630417129899797</v>
      </c>
      <c r="P156" s="64">
        <f>MAX(I156*1000/'Calculation Constants'!$B$14,O156*10*I156*1000/2/('Calculation Constants'!$B$12*1000*'Calculation Constants'!$B$13))</f>
        <v>13.75</v>
      </c>
      <c r="Q156" s="66">
        <f t="shared" si="58"/>
        <v>1482695.7604373412</v>
      </c>
      <c r="R156" s="27">
        <f>(1/(2*LOG(3.7*$I156/'Calculation Constants'!$B$2*1000)))^2</f>
        <v>8.4679866037394684E-3</v>
      </c>
      <c r="S156" s="19">
        <f t="shared" si="72"/>
        <v>0.45268811177167712</v>
      </c>
      <c r="T156" s="19">
        <f>IF($H156&gt;0,'Calculation Constants'!$B$9*Hydraulics!$K156^2/2/9.81/MAX($F$4:$F$253)*$H156,"")</f>
        <v>3.5282785359788842E-2</v>
      </c>
      <c r="U156" s="19">
        <f t="shared" si="73"/>
        <v>0.48797089713146596</v>
      </c>
      <c r="V156" s="19">
        <f t="shared" si="59"/>
        <v>0</v>
      </c>
      <c r="W156" s="19">
        <f t="shared" si="60"/>
        <v>91.762135011875671</v>
      </c>
      <c r="X156" s="23">
        <f t="shared" si="61"/>
        <v>1164.4531350118757</v>
      </c>
      <c r="Y156" s="22">
        <f>(1/(2*LOG(3.7*$I156/'Calculation Constants'!$B$3*1000)))^2</f>
        <v>9.4904462912918219E-3</v>
      </c>
      <c r="Z156" s="19">
        <f t="shared" si="62"/>
        <v>0.50734754464280807</v>
      </c>
      <c r="AA156" s="19">
        <f>IF($H156&gt;0,'Calculation Constants'!$B$9*Hydraulics!$K156^2/2/9.81/MAX($F$4:$F$253)*$H156,"")</f>
        <v>3.5282785359788842E-2</v>
      </c>
      <c r="AB156" s="19">
        <f t="shared" si="81"/>
        <v>0.54263033000259686</v>
      </c>
      <c r="AC156" s="19">
        <f t="shared" si="63"/>
        <v>0</v>
      </c>
      <c r="AD156" s="19">
        <f t="shared" si="74"/>
        <v>89.630417129899797</v>
      </c>
      <c r="AE156" s="23">
        <f t="shared" si="64"/>
        <v>1162.3214171298998</v>
      </c>
      <c r="AF156" s="27">
        <f>(1/(2*LOG(3.7*$I156/'Calculation Constants'!$B$4*1000)))^2</f>
        <v>1.1152845500629007E-2</v>
      </c>
      <c r="AG156" s="19">
        <f t="shared" si="65"/>
        <v>0.59621735446906032</v>
      </c>
      <c r="AH156" s="19">
        <f>IF($H156&gt;0,'Calculation Constants'!$B$9*Hydraulics!$K156^2/2/9.81/MAX($F$4:$F$253)*$H156,"")</f>
        <v>3.5282785359788842E-2</v>
      </c>
      <c r="AI156" s="19">
        <f t="shared" si="75"/>
        <v>0.63150013982884912</v>
      </c>
      <c r="AJ156" s="19">
        <f t="shared" si="66"/>
        <v>0</v>
      </c>
      <c r="AK156" s="19">
        <f t="shared" si="76"/>
        <v>86.164494546674405</v>
      </c>
      <c r="AL156" s="23">
        <f t="shared" si="67"/>
        <v>1158.8554945466744</v>
      </c>
      <c r="AM156" s="22">
        <f>(1/(2*LOG(3.7*($I156-0.008)/'Calculation Constants'!$B$5*1000)))^2</f>
        <v>1.4104604303736145E-2</v>
      </c>
      <c r="AN156" s="19">
        <f t="shared" si="77"/>
        <v>0.75676661531854661</v>
      </c>
      <c r="AO156" s="19">
        <f>IF($H156&gt;0,'Calculation Constants'!$B$9*Hydraulics!$K156^2/2/9.81/MAX($F$4:$F$253)*$H156,"")</f>
        <v>3.5282785359788842E-2</v>
      </c>
      <c r="AP156" s="19">
        <f t="shared" si="78"/>
        <v>0.7920494006783354</v>
      </c>
      <c r="AQ156" s="19">
        <f t="shared" si="68"/>
        <v>0</v>
      </c>
      <c r="AR156" s="19">
        <f t="shared" si="79"/>
        <v>79.903073373548068</v>
      </c>
      <c r="AS156" s="23">
        <f t="shared" si="69"/>
        <v>1152.5940733735481</v>
      </c>
    </row>
    <row r="157" spans="5:45">
      <c r="E157" s="35" t="str">
        <f t="shared" si="55"/>
        <v/>
      </c>
      <c r="F157" s="19">
        <f>'Profile data'!A157</f>
        <v>308</v>
      </c>
      <c r="G157" s="19">
        <f>VLOOKUP(F157,'Profile data'!A157:C416,IF($B$22="Botswana 1",2,3))</f>
        <v>1076.5029999999999</v>
      </c>
      <c r="H157" s="19">
        <f t="shared" si="80"/>
        <v>2</v>
      </c>
      <c r="I157" s="19">
        <v>2.2000000000000002</v>
      </c>
      <c r="J157" s="36">
        <f>'Flow Rate Calculations'!$B$7</f>
        <v>4.0831050228310497</v>
      </c>
      <c r="K157" s="36">
        <f t="shared" si="70"/>
        <v>1.0741261942924094</v>
      </c>
      <c r="L157" s="37">
        <f>$I157*$K157/'Calculation Constants'!$B$7</f>
        <v>2091219.139330355</v>
      </c>
      <c r="M157" s="37" t="str">
        <f t="shared" si="56"/>
        <v>Greater Dynamic Pressures</v>
      </c>
      <c r="N157" s="23">
        <f t="shared" si="71"/>
        <v>87.462164114744382</v>
      </c>
      <c r="O157" s="55">
        <f t="shared" si="57"/>
        <v>85.275786799897332</v>
      </c>
      <c r="P157" s="64">
        <f>MAX(I157*1000/'Calculation Constants'!$B$14,O157*10*I157*1000/2/('Calculation Constants'!$B$12*1000*'Calculation Constants'!$B$13))</f>
        <v>13.75</v>
      </c>
      <c r="Q157" s="66">
        <f t="shared" si="58"/>
        <v>1482695.7604373412</v>
      </c>
      <c r="R157" s="27">
        <f>(1/(2*LOG(3.7*$I157/'Calculation Constants'!$B$2*1000)))^2</f>
        <v>8.4679866037394684E-3</v>
      </c>
      <c r="S157" s="19">
        <f t="shared" si="72"/>
        <v>0.45268811177167712</v>
      </c>
      <c r="T157" s="19">
        <f>IF($H157&gt;0,'Calculation Constants'!$B$9*Hydraulics!$K157^2/2/9.81/MAX($F$4:$F$253)*$H157,"")</f>
        <v>3.5282785359788842E-2</v>
      </c>
      <c r="U157" s="19">
        <f t="shared" si="73"/>
        <v>0.48797089713146596</v>
      </c>
      <c r="V157" s="19">
        <f t="shared" si="59"/>
        <v>0</v>
      </c>
      <c r="W157" s="19">
        <f t="shared" si="60"/>
        <v>87.462164114744382</v>
      </c>
      <c r="X157" s="23">
        <f t="shared" si="61"/>
        <v>1163.9651641147443</v>
      </c>
      <c r="Y157" s="22">
        <f>(1/(2*LOG(3.7*$I157/'Calculation Constants'!$B$3*1000)))^2</f>
        <v>9.4904462912918219E-3</v>
      </c>
      <c r="Z157" s="19">
        <f t="shared" si="62"/>
        <v>0.50734754464280807</v>
      </c>
      <c r="AA157" s="19">
        <f>IF($H157&gt;0,'Calculation Constants'!$B$9*Hydraulics!$K157^2/2/9.81/MAX($F$4:$F$253)*$H157,"")</f>
        <v>3.5282785359788842E-2</v>
      </c>
      <c r="AB157" s="19">
        <f t="shared" si="81"/>
        <v>0.54263033000259686</v>
      </c>
      <c r="AC157" s="19">
        <f t="shared" si="63"/>
        <v>0</v>
      </c>
      <c r="AD157" s="19">
        <f t="shared" si="74"/>
        <v>85.275786799897332</v>
      </c>
      <c r="AE157" s="23">
        <f t="shared" si="64"/>
        <v>1161.7787867998973</v>
      </c>
      <c r="AF157" s="27">
        <f>(1/(2*LOG(3.7*$I157/'Calculation Constants'!$B$4*1000)))^2</f>
        <v>1.1152845500629007E-2</v>
      </c>
      <c r="AG157" s="19">
        <f t="shared" si="65"/>
        <v>0.59621735446906032</v>
      </c>
      <c r="AH157" s="19">
        <f>IF($H157&gt;0,'Calculation Constants'!$B$9*Hydraulics!$K157^2/2/9.81/MAX($F$4:$F$253)*$H157,"")</f>
        <v>3.5282785359788842E-2</v>
      </c>
      <c r="AI157" s="19">
        <f t="shared" si="75"/>
        <v>0.63150013982884912</v>
      </c>
      <c r="AJ157" s="19">
        <f t="shared" si="66"/>
        <v>0</v>
      </c>
      <c r="AK157" s="19">
        <f t="shared" si="76"/>
        <v>81.720994406845648</v>
      </c>
      <c r="AL157" s="23">
        <f t="shared" si="67"/>
        <v>1158.2239944068456</v>
      </c>
      <c r="AM157" s="22">
        <f>(1/(2*LOG(3.7*($I157-0.008)/'Calculation Constants'!$B$5*1000)))^2</f>
        <v>1.4104604303736145E-2</v>
      </c>
      <c r="AN157" s="19">
        <f t="shared" si="77"/>
        <v>0.75676661531854661</v>
      </c>
      <c r="AO157" s="19">
        <f>IF($H157&gt;0,'Calculation Constants'!$B$9*Hydraulics!$K157^2/2/9.81/MAX($F$4:$F$253)*$H157,"")</f>
        <v>3.5282785359788842E-2</v>
      </c>
      <c r="AP157" s="19">
        <f t="shared" si="78"/>
        <v>0.7920494006783354</v>
      </c>
      <c r="AQ157" s="19">
        <f t="shared" si="68"/>
        <v>0</v>
      </c>
      <c r="AR157" s="19">
        <f t="shared" si="79"/>
        <v>75.299023972869918</v>
      </c>
      <c r="AS157" s="23">
        <f t="shared" si="69"/>
        <v>1151.8020239728698</v>
      </c>
    </row>
    <row r="158" spans="5:45">
      <c r="E158" s="35" t="str">
        <f t="shared" si="55"/>
        <v/>
      </c>
      <c r="F158" s="19">
        <f>'Profile data'!A158</f>
        <v>310</v>
      </c>
      <c r="G158" s="19">
        <f>VLOOKUP(F158,'Profile data'!A158:C417,IF($B$22="Botswana 1",2,3))</f>
        <v>1083.9960000000001</v>
      </c>
      <c r="H158" s="19">
        <f t="shared" si="80"/>
        <v>2</v>
      </c>
      <c r="I158" s="19">
        <v>2.2000000000000002</v>
      </c>
      <c r="J158" s="36">
        <f>'Flow Rate Calculations'!$B$7</f>
        <v>4.0831050228310497</v>
      </c>
      <c r="K158" s="36">
        <f t="shared" si="70"/>
        <v>1.0741261942924094</v>
      </c>
      <c r="L158" s="37">
        <f>$I158*$K158/'Calculation Constants'!$B$7</f>
        <v>2091219.139330355</v>
      </c>
      <c r="M158" s="37" t="str">
        <f t="shared" si="56"/>
        <v>Greater Dynamic Pressures</v>
      </c>
      <c r="N158" s="23">
        <f t="shared" si="71"/>
        <v>79.481193217612827</v>
      </c>
      <c r="O158" s="55">
        <f t="shared" si="57"/>
        <v>77.2401564698946</v>
      </c>
      <c r="P158" s="64">
        <f>MAX(I158*1000/'Calculation Constants'!$B$14,O158*10*I158*1000/2/('Calculation Constants'!$B$12*1000*'Calculation Constants'!$B$13))</f>
        <v>13.75</v>
      </c>
      <c r="Q158" s="66">
        <f t="shared" si="58"/>
        <v>1482695.7604373412</v>
      </c>
      <c r="R158" s="27">
        <f>(1/(2*LOG(3.7*$I158/'Calculation Constants'!$B$2*1000)))^2</f>
        <v>8.4679866037394684E-3</v>
      </c>
      <c r="S158" s="19">
        <f t="shared" si="72"/>
        <v>0.45268811177167712</v>
      </c>
      <c r="T158" s="19">
        <f>IF($H158&gt;0,'Calculation Constants'!$B$9*Hydraulics!$K158^2/2/9.81/MAX($F$4:$F$253)*$H158,"")</f>
        <v>3.5282785359788842E-2</v>
      </c>
      <c r="U158" s="19">
        <f t="shared" si="73"/>
        <v>0.48797089713146596</v>
      </c>
      <c r="V158" s="19">
        <f t="shared" si="59"/>
        <v>0</v>
      </c>
      <c r="W158" s="19">
        <f t="shared" si="60"/>
        <v>79.481193217612827</v>
      </c>
      <c r="X158" s="23">
        <f t="shared" si="61"/>
        <v>1163.4771932176129</v>
      </c>
      <c r="Y158" s="22">
        <f>(1/(2*LOG(3.7*$I158/'Calculation Constants'!$B$3*1000)))^2</f>
        <v>9.4904462912918219E-3</v>
      </c>
      <c r="Z158" s="19">
        <f t="shared" si="62"/>
        <v>0.50734754464280807</v>
      </c>
      <c r="AA158" s="19">
        <f>IF($H158&gt;0,'Calculation Constants'!$B$9*Hydraulics!$K158^2/2/9.81/MAX($F$4:$F$253)*$H158,"")</f>
        <v>3.5282785359788842E-2</v>
      </c>
      <c r="AB158" s="19">
        <f t="shared" si="81"/>
        <v>0.54263033000259686</v>
      </c>
      <c r="AC158" s="19">
        <f t="shared" si="63"/>
        <v>0</v>
      </c>
      <c r="AD158" s="19">
        <f t="shared" si="74"/>
        <v>77.2401564698946</v>
      </c>
      <c r="AE158" s="23">
        <f t="shared" si="64"/>
        <v>1161.2361564698947</v>
      </c>
      <c r="AF158" s="27">
        <f>(1/(2*LOG(3.7*$I158/'Calculation Constants'!$B$4*1000)))^2</f>
        <v>1.1152845500629007E-2</v>
      </c>
      <c r="AG158" s="19">
        <f t="shared" si="65"/>
        <v>0.59621735446906032</v>
      </c>
      <c r="AH158" s="19">
        <f>IF($H158&gt;0,'Calculation Constants'!$B$9*Hydraulics!$K158^2/2/9.81/MAX($F$4:$F$253)*$H158,"")</f>
        <v>3.5282785359788842E-2</v>
      </c>
      <c r="AI158" s="19">
        <f t="shared" si="75"/>
        <v>0.63150013982884912</v>
      </c>
      <c r="AJ158" s="19">
        <f t="shared" si="66"/>
        <v>0</v>
      </c>
      <c r="AK158" s="19">
        <f t="shared" si="76"/>
        <v>73.596494267016624</v>
      </c>
      <c r="AL158" s="23">
        <f t="shared" si="67"/>
        <v>1157.5924942670167</v>
      </c>
      <c r="AM158" s="22">
        <f>(1/(2*LOG(3.7*($I158-0.008)/'Calculation Constants'!$B$5*1000)))^2</f>
        <v>1.4104604303736145E-2</v>
      </c>
      <c r="AN158" s="19">
        <f t="shared" si="77"/>
        <v>0.75676661531854661</v>
      </c>
      <c r="AO158" s="19">
        <f>IF($H158&gt;0,'Calculation Constants'!$B$9*Hydraulics!$K158^2/2/9.81/MAX($F$4:$F$253)*$H158,"")</f>
        <v>3.5282785359788842E-2</v>
      </c>
      <c r="AP158" s="19">
        <f t="shared" si="78"/>
        <v>0.7920494006783354</v>
      </c>
      <c r="AQ158" s="19">
        <f t="shared" si="68"/>
        <v>0</v>
      </c>
      <c r="AR158" s="19">
        <f t="shared" si="79"/>
        <v>67.013974572191501</v>
      </c>
      <c r="AS158" s="23">
        <f t="shared" si="69"/>
        <v>1151.0099745721916</v>
      </c>
    </row>
    <row r="159" spans="5:45">
      <c r="E159" s="35" t="str">
        <f t="shared" si="55"/>
        <v/>
      </c>
      <c r="F159" s="19">
        <f>'Profile data'!A159</f>
        <v>312</v>
      </c>
      <c r="G159" s="19">
        <f>VLOOKUP(F159,'Profile data'!A159:C418,IF($B$22="Botswana 1",2,3))</f>
        <v>1097.1880000000001</v>
      </c>
      <c r="H159" s="19">
        <f t="shared" si="80"/>
        <v>2</v>
      </c>
      <c r="I159" s="19">
        <v>2.2000000000000002</v>
      </c>
      <c r="J159" s="36">
        <f>'Flow Rate Calculations'!$B$7</f>
        <v>4.0831050228310497</v>
      </c>
      <c r="K159" s="36">
        <f t="shared" si="70"/>
        <v>1.0741261942924094</v>
      </c>
      <c r="L159" s="37">
        <f>$I159*$K159/'Calculation Constants'!$B$7</f>
        <v>2091219.139330355</v>
      </c>
      <c r="M159" s="37" t="str">
        <f t="shared" si="56"/>
        <v>Greater Dynamic Pressures</v>
      </c>
      <c r="N159" s="23">
        <f t="shared" si="71"/>
        <v>65.801222320481429</v>
      </c>
      <c r="O159" s="55">
        <f t="shared" si="57"/>
        <v>63.505526139892027</v>
      </c>
      <c r="P159" s="64">
        <f>MAX(I159*1000/'Calculation Constants'!$B$14,O159*10*I159*1000/2/('Calculation Constants'!$B$12*1000*'Calculation Constants'!$B$13))</f>
        <v>13.75</v>
      </c>
      <c r="Q159" s="66">
        <f t="shared" si="58"/>
        <v>1482695.7604373412</v>
      </c>
      <c r="R159" s="27">
        <f>(1/(2*LOG(3.7*$I159/'Calculation Constants'!$B$2*1000)))^2</f>
        <v>8.4679866037394684E-3</v>
      </c>
      <c r="S159" s="19">
        <f t="shared" si="72"/>
        <v>0.45268811177167712</v>
      </c>
      <c r="T159" s="19">
        <f>IF($H159&gt;0,'Calculation Constants'!$B$9*Hydraulics!$K159^2/2/9.81/MAX($F$4:$F$253)*$H159,"")</f>
        <v>3.5282785359788842E-2</v>
      </c>
      <c r="U159" s="19">
        <f t="shared" si="73"/>
        <v>0.48797089713146596</v>
      </c>
      <c r="V159" s="19">
        <f t="shared" si="59"/>
        <v>0</v>
      </c>
      <c r="W159" s="19">
        <f t="shared" si="60"/>
        <v>65.801222320481429</v>
      </c>
      <c r="X159" s="23">
        <f t="shared" si="61"/>
        <v>1162.9892223204815</v>
      </c>
      <c r="Y159" s="22">
        <f>(1/(2*LOG(3.7*$I159/'Calculation Constants'!$B$3*1000)))^2</f>
        <v>9.4904462912918219E-3</v>
      </c>
      <c r="Z159" s="19">
        <f t="shared" si="62"/>
        <v>0.50734754464280807</v>
      </c>
      <c r="AA159" s="19">
        <f>IF($H159&gt;0,'Calculation Constants'!$B$9*Hydraulics!$K159^2/2/9.81/MAX($F$4:$F$253)*$H159,"")</f>
        <v>3.5282785359788842E-2</v>
      </c>
      <c r="AB159" s="19">
        <f t="shared" si="81"/>
        <v>0.54263033000259686</v>
      </c>
      <c r="AC159" s="19">
        <f t="shared" si="63"/>
        <v>0</v>
      </c>
      <c r="AD159" s="19">
        <f t="shared" si="74"/>
        <v>63.505526139892027</v>
      </c>
      <c r="AE159" s="23">
        <f t="shared" si="64"/>
        <v>1160.6935261398921</v>
      </c>
      <c r="AF159" s="27">
        <f>(1/(2*LOG(3.7*$I159/'Calculation Constants'!$B$4*1000)))^2</f>
        <v>1.1152845500629007E-2</v>
      </c>
      <c r="AG159" s="19">
        <f t="shared" si="65"/>
        <v>0.59621735446906032</v>
      </c>
      <c r="AH159" s="19">
        <f>IF($H159&gt;0,'Calculation Constants'!$B$9*Hydraulics!$K159^2/2/9.81/MAX($F$4:$F$253)*$H159,"")</f>
        <v>3.5282785359788842E-2</v>
      </c>
      <c r="AI159" s="19">
        <f t="shared" si="75"/>
        <v>0.63150013982884912</v>
      </c>
      <c r="AJ159" s="19">
        <f t="shared" si="66"/>
        <v>0</v>
      </c>
      <c r="AK159" s="19">
        <f t="shared" si="76"/>
        <v>59.772994127187758</v>
      </c>
      <c r="AL159" s="23">
        <f t="shared" si="67"/>
        <v>1156.9609941271879</v>
      </c>
      <c r="AM159" s="22">
        <f>(1/(2*LOG(3.7*($I159-0.008)/'Calculation Constants'!$B$5*1000)))^2</f>
        <v>1.4104604303736145E-2</v>
      </c>
      <c r="AN159" s="19">
        <f t="shared" si="77"/>
        <v>0.75676661531854661</v>
      </c>
      <c r="AO159" s="19">
        <f>IF($H159&gt;0,'Calculation Constants'!$B$9*Hydraulics!$K159^2/2/9.81/MAX($F$4:$F$253)*$H159,"")</f>
        <v>3.5282785359788842E-2</v>
      </c>
      <c r="AP159" s="19">
        <f t="shared" si="78"/>
        <v>0.7920494006783354</v>
      </c>
      <c r="AQ159" s="19">
        <f t="shared" si="68"/>
        <v>0</v>
      </c>
      <c r="AR159" s="19">
        <f t="shared" si="79"/>
        <v>53.029925171513241</v>
      </c>
      <c r="AS159" s="23">
        <f t="shared" si="69"/>
        <v>1150.2179251715133</v>
      </c>
    </row>
    <row r="160" spans="5:45">
      <c r="E160" s="35" t="str">
        <f t="shared" si="55"/>
        <v/>
      </c>
      <c r="F160" s="19">
        <f>'Profile data'!A160</f>
        <v>314</v>
      </c>
      <c r="G160" s="19">
        <f>VLOOKUP(F160,'Profile data'!A160:C419,IF($B$22="Botswana 1",2,3))</f>
        <v>1103.5450000000001</v>
      </c>
      <c r="H160" s="19">
        <f t="shared" si="80"/>
        <v>2</v>
      </c>
      <c r="I160" s="19">
        <v>2.2000000000000002</v>
      </c>
      <c r="J160" s="36">
        <f>'Flow Rate Calculations'!$B$7</f>
        <v>4.0831050228310497</v>
      </c>
      <c r="K160" s="36">
        <f t="shared" si="70"/>
        <v>1.0741261942924094</v>
      </c>
      <c r="L160" s="37">
        <f>$I160*$K160/'Calculation Constants'!$B$7</f>
        <v>2091219.139330355</v>
      </c>
      <c r="M160" s="37" t="str">
        <f t="shared" si="56"/>
        <v>Greater Dynamic Pressures</v>
      </c>
      <c r="N160" s="23">
        <f t="shared" si="71"/>
        <v>58.956251423350068</v>
      </c>
      <c r="O160" s="55">
        <f t="shared" si="57"/>
        <v>56.605895809889489</v>
      </c>
      <c r="P160" s="64">
        <f>MAX(I160*1000/'Calculation Constants'!$B$14,O160*10*I160*1000/2/('Calculation Constants'!$B$12*1000*'Calculation Constants'!$B$13))</f>
        <v>13.75</v>
      </c>
      <c r="Q160" s="66">
        <f t="shared" si="58"/>
        <v>1482695.7604373412</v>
      </c>
      <c r="R160" s="27">
        <f>(1/(2*LOG(3.7*$I160/'Calculation Constants'!$B$2*1000)))^2</f>
        <v>8.4679866037394684E-3</v>
      </c>
      <c r="S160" s="19">
        <f t="shared" si="72"/>
        <v>0.45268811177167712</v>
      </c>
      <c r="T160" s="19">
        <f>IF($H160&gt;0,'Calculation Constants'!$B$9*Hydraulics!$K160^2/2/9.81/MAX($F$4:$F$253)*$H160,"")</f>
        <v>3.5282785359788842E-2</v>
      </c>
      <c r="U160" s="19">
        <f t="shared" si="73"/>
        <v>0.48797089713146596</v>
      </c>
      <c r="V160" s="19">
        <f t="shared" si="59"/>
        <v>0</v>
      </c>
      <c r="W160" s="19">
        <f t="shared" si="60"/>
        <v>58.956251423350068</v>
      </c>
      <c r="X160" s="23">
        <f t="shared" si="61"/>
        <v>1162.5012514233501</v>
      </c>
      <c r="Y160" s="22">
        <f>(1/(2*LOG(3.7*$I160/'Calculation Constants'!$B$3*1000)))^2</f>
        <v>9.4904462912918219E-3</v>
      </c>
      <c r="Z160" s="19">
        <f t="shared" si="62"/>
        <v>0.50734754464280807</v>
      </c>
      <c r="AA160" s="19">
        <f>IF($H160&gt;0,'Calculation Constants'!$B$9*Hydraulics!$K160^2/2/9.81/MAX($F$4:$F$253)*$H160,"")</f>
        <v>3.5282785359788842E-2</v>
      </c>
      <c r="AB160" s="19">
        <f t="shared" si="81"/>
        <v>0.54263033000259686</v>
      </c>
      <c r="AC160" s="19">
        <f t="shared" si="63"/>
        <v>0</v>
      </c>
      <c r="AD160" s="19">
        <f t="shared" si="74"/>
        <v>56.605895809889489</v>
      </c>
      <c r="AE160" s="23">
        <f t="shared" si="64"/>
        <v>1160.1508958098896</v>
      </c>
      <c r="AF160" s="27">
        <f>(1/(2*LOG(3.7*$I160/'Calculation Constants'!$B$4*1000)))^2</f>
        <v>1.1152845500629007E-2</v>
      </c>
      <c r="AG160" s="19">
        <f t="shared" si="65"/>
        <v>0.59621735446906032</v>
      </c>
      <c r="AH160" s="19">
        <f>IF($H160&gt;0,'Calculation Constants'!$B$9*Hydraulics!$K160^2/2/9.81/MAX($F$4:$F$253)*$H160,"")</f>
        <v>3.5282785359788842E-2</v>
      </c>
      <c r="AI160" s="19">
        <f t="shared" si="75"/>
        <v>0.63150013982884912</v>
      </c>
      <c r="AJ160" s="19">
        <f t="shared" si="66"/>
        <v>0</v>
      </c>
      <c r="AK160" s="19">
        <f t="shared" si="76"/>
        <v>52.784493987358928</v>
      </c>
      <c r="AL160" s="23">
        <f t="shared" si="67"/>
        <v>1156.329493987359</v>
      </c>
      <c r="AM160" s="22">
        <f>(1/(2*LOG(3.7*($I160-0.008)/'Calculation Constants'!$B$5*1000)))^2</f>
        <v>1.4104604303736145E-2</v>
      </c>
      <c r="AN160" s="19">
        <f t="shared" si="77"/>
        <v>0.75676661531854661</v>
      </c>
      <c r="AO160" s="19">
        <f>IF($H160&gt;0,'Calculation Constants'!$B$9*Hydraulics!$K160^2/2/9.81/MAX($F$4:$F$253)*$H160,"")</f>
        <v>3.5282785359788842E-2</v>
      </c>
      <c r="AP160" s="19">
        <f t="shared" si="78"/>
        <v>0.7920494006783354</v>
      </c>
      <c r="AQ160" s="19">
        <f t="shared" si="68"/>
        <v>0</v>
      </c>
      <c r="AR160" s="19">
        <f t="shared" si="79"/>
        <v>45.880875770835019</v>
      </c>
      <c r="AS160" s="23">
        <f t="shared" si="69"/>
        <v>1149.4258757708351</v>
      </c>
    </row>
    <row r="161" spans="5:45">
      <c r="E161" s="35" t="str">
        <f t="shared" si="55"/>
        <v/>
      </c>
      <c r="F161" s="19">
        <f>'Profile data'!A161</f>
        <v>316</v>
      </c>
      <c r="G161" s="19">
        <f>VLOOKUP(F161,'Profile data'!A161:C420,IF($B$22="Botswana 1",2,3))</f>
        <v>1105.174</v>
      </c>
      <c r="H161" s="19">
        <f t="shared" si="80"/>
        <v>2</v>
      </c>
      <c r="I161" s="19">
        <v>2.2000000000000002</v>
      </c>
      <c r="J161" s="36">
        <f>'Flow Rate Calculations'!$B$7</f>
        <v>4.0831050228310497</v>
      </c>
      <c r="K161" s="36">
        <f t="shared" si="70"/>
        <v>1.0741261942924094</v>
      </c>
      <c r="L161" s="37">
        <f>$I161*$K161/'Calculation Constants'!$B$7</f>
        <v>2091219.139330355</v>
      </c>
      <c r="M161" s="37" t="str">
        <f t="shared" si="56"/>
        <v>Greater Dynamic Pressures</v>
      </c>
      <c r="N161" s="23">
        <f t="shared" si="71"/>
        <v>56.839280526218772</v>
      </c>
      <c r="O161" s="55">
        <f t="shared" si="57"/>
        <v>54.434265479887017</v>
      </c>
      <c r="P161" s="64">
        <f>MAX(I161*1000/'Calculation Constants'!$B$14,O161*10*I161*1000/2/('Calculation Constants'!$B$12*1000*'Calculation Constants'!$B$13))</f>
        <v>13.75</v>
      </c>
      <c r="Q161" s="66">
        <f t="shared" si="58"/>
        <v>1482695.7604373412</v>
      </c>
      <c r="R161" s="27">
        <f>(1/(2*LOG(3.7*$I161/'Calculation Constants'!$B$2*1000)))^2</f>
        <v>8.4679866037394684E-3</v>
      </c>
      <c r="S161" s="19">
        <f t="shared" si="72"/>
        <v>0.45268811177167712</v>
      </c>
      <c r="T161" s="19">
        <f>IF($H161&gt;0,'Calculation Constants'!$B$9*Hydraulics!$K161^2/2/9.81/MAX($F$4:$F$253)*$H161,"")</f>
        <v>3.5282785359788842E-2</v>
      </c>
      <c r="U161" s="19">
        <f t="shared" si="73"/>
        <v>0.48797089713146596</v>
      </c>
      <c r="V161" s="19">
        <f t="shared" si="59"/>
        <v>0</v>
      </c>
      <c r="W161" s="19">
        <f t="shared" si="60"/>
        <v>56.839280526218772</v>
      </c>
      <c r="X161" s="23">
        <f t="shared" si="61"/>
        <v>1162.0132805262188</v>
      </c>
      <c r="Y161" s="22">
        <f>(1/(2*LOG(3.7*$I161/'Calculation Constants'!$B$3*1000)))^2</f>
        <v>9.4904462912918219E-3</v>
      </c>
      <c r="Z161" s="19">
        <f t="shared" si="62"/>
        <v>0.50734754464280807</v>
      </c>
      <c r="AA161" s="19">
        <f>IF($H161&gt;0,'Calculation Constants'!$B$9*Hydraulics!$K161^2/2/9.81/MAX($F$4:$F$253)*$H161,"")</f>
        <v>3.5282785359788842E-2</v>
      </c>
      <c r="AB161" s="19">
        <f t="shared" si="81"/>
        <v>0.54263033000259686</v>
      </c>
      <c r="AC161" s="19">
        <f t="shared" si="63"/>
        <v>0</v>
      </c>
      <c r="AD161" s="19">
        <f t="shared" si="74"/>
        <v>54.434265479887017</v>
      </c>
      <c r="AE161" s="23">
        <f t="shared" si="64"/>
        <v>1159.608265479887</v>
      </c>
      <c r="AF161" s="27">
        <f>(1/(2*LOG(3.7*$I161/'Calculation Constants'!$B$4*1000)))^2</f>
        <v>1.1152845500629007E-2</v>
      </c>
      <c r="AG161" s="19">
        <f t="shared" si="65"/>
        <v>0.59621735446906032</v>
      </c>
      <c r="AH161" s="19">
        <f>IF($H161&gt;0,'Calculation Constants'!$B$9*Hydraulics!$K161^2/2/9.81/MAX($F$4:$F$253)*$H161,"")</f>
        <v>3.5282785359788842E-2</v>
      </c>
      <c r="AI161" s="19">
        <f t="shared" si="75"/>
        <v>0.63150013982884912</v>
      </c>
      <c r="AJ161" s="19">
        <f t="shared" si="66"/>
        <v>0</v>
      </c>
      <c r="AK161" s="19">
        <f t="shared" si="76"/>
        <v>50.523993847530164</v>
      </c>
      <c r="AL161" s="23">
        <f t="shared" si="67"/>
        <v>1155.6979938475301</v>
      </c>
      <c r="AM161" s="22">
        <f>(1/(2*LOG(3.7*($I161-0.008)/'Calculation Constants'!$B$5*1000)))^2</f>
        <v>1.4104604303736145E-2</v>
      </c>
      <c r="AN161" s="19">
        <f t="shared" si="77"/>
        <v>0.75676661531854661</v>
      </c>
      <c r="AO161" s="19">
        <f>IF($H161&gt;0,'Calculation Constants'!$B$9*Hydraulics!$K161^2/2/9.81/MAX($F$4:$F$253)*$H161,"")</f>
        <v>3.5282785359788842E-2</v>
      </c>
      <c r="AP161" s="19">
        <f t="shared" si="78"/>
        <v>0.7920494006783354</v>
      </c>
      <c r="AQ161" s="19">
        <f t="shared" si="68"/>
        <v>0</v>
      </c>
      <c r="AR161" s="19">
        <f t="shared" si="79"/>
        <v>43.459826370156861</v>
      </c>
      <c r="AS161" s="23">
        <f t="shared" si="69"/>
        <v>1148.6338263701568</v>
      </c>
    </row>
    <row r="162" spans="5:45">
      <c r="E162" s="35" t="str">
        <f t="shared" si="55"/>
        <v/>
      </c>
      <c r="F162" s="19">
        <f>'Profile data'!A162</f>
        <v>318</v>
      </c>
      <c r="G162" s="19">
        <f>VLOOKUP(F162,'Profile data'!A162:C421,IF($B$22="Botswana 1",2,3))</f>
        <v>1111.6569999999999</v>
      </c>
      <c r="H162" s="19">
        <f t="shared" si="80"/>
        <v>2</v>
      </c>
      <c r="I162" s="19">
        <v>2.2000000000000002</v>
      </c>
      <c r="J162" s="36">
        <f>'Flow Rate Calculations'!$B$7</f>
        <v>4.0831050228310497</v>
      </c>
      <c r="K162" s="36">
        <f t="shared" si="70"/>
        <v>1.0741261942924094</v>
      </c>
      <c r="L162" s="37">
        <f>$I162*$K162/'Calculation Constants'!$B$7</f>
        <v>2091219.139330355</v>
      </c>
      <c r="M162" s="37" t="str">
        <f t="shared" si="56"/>
        <v>Greater Dynamic Pressures</v>
      </c>
      <c r="N162" s="23">
        <f t="shared" si="71"/>
        <v>49.868309629087435</v>
      </c>
      <c r="O162" s="55">
        <f t="shared" si="57"/>
        <v>47.408635149884503</v>
      </c>
      <c r="P162" s="64">
        <f>MAX(I162*1000/'Calculation Constants'!$B$14,O162*10*I162*1000/2/('Calculation Constants'!$B$12*1000*'Calculation Constants'!$B$13))</f>
        <v>13.75</v>
      </c>
      <c r="Q162" s="66">
        <f t="shared" si="58"/>
        <v>1482695.7604373412</v>
      </c>
      <c r="R162" s="27">
        <f>(1/(2*LOG(3.7*$I162/'Calculation Constants'!$B$2*1000)))^2</f>
        <v>8.4679866037394684E-3</v>
      </c>
      <c r="S162" s="19">
        <f t="shared" si="72"/>
        <v>0.45268811177167712</v>
      </c>
      <c r="T162" s="19">
        <f>IF($H162&gt;0,'Calculation Constants'!$B$9*Hydraulics!$K162^2/2/9.81/MAX($F$4:$F$253)*$H162,"")</f>
        <v>3.5282785359788842E-2</v>
      </c>
      <c r="U162" s="19">
        <f t="shared" si="73"/>
        <v>0.48797089713146596</v>
      </c>
      <c r="V162" s="19">
        <f t="shared" si="59"/>
        <v>0</v>
      </c>
      <c r="W162" s="19">
        <f t="shared" si="60"/>
        <v>49.868309629087435</v>
      </c>
      <c r="X162" s="23">
        <f t="shared" si="61"/>
        <v>1161.5253096290874</v>
      </c>
      <c r="Y162" s="22">
        <f>(1/(2*LOG(3.7*$I162/'Calculation Constants'!$B$3*1000)))^2</f>
        <v>9.4904462912918219E-3</v>
      </c>
      <c r="Z162" s="19">
        <f t="shared" si="62"/>
        <v>0.50734754464280807</v>
      </c>
      <c r="AA162" s="19">
        <f>IF($H162&gt;0,'Calculation Constants'!$B$9*Hydraulics!$K162^2/2/9.81/MAX($F$4:$F$253)*$H162,"")</f>
        <v>3.5282785359788842E-2</v>
      </c>
      <c r="AB162" s="19">
        <f t="shared" si="81"/>
        <v>0.54263033000259686</v>
      </c>
      <c r="AC162" s="19">
        <f t="shared" si="63"/>
        <v>0</v>
      </c>
      <c r="AD162" s="19">
        <f t="shared" si="74"/>
        <v>47.408635149884503</v>
      </c>
      <c r="AE162" s="23">
        <f t="shared" si="64"/>
        <v>1159.0656351498844</v>
      </c>
      <c r="AF162" s="27">
        <f>(1/(2*LOG(3.7*$I162/'Calculation Constants'!$B$4*1000)))^2</f>
        <v>1.1152845500629007E-2</v>
      </c>
      <c r="AG162" s="19">
        <f t="shared" si="65"/>
        <v>0.59621735446906032</v>
      </c>
      <c r="AH162" s="19">
        <f>IF($H162&gt;0,'Calculation Constants'!$B$9*Hydraulics!$K162^2/2/9.81/MAX($F$4:$F$253)*$H162,"")</f>
        <v>3.5282785359788842E-2</v>
      </c>
      <c r="AI162" s="19">
        <f t="shared" si="75"/>
        <v>0.63150013982884912</v>
      </c>
      <c r="AJ162" s="19">
        <f t="shared" si="66"/>
        <v>0</v>
      </c>
      <c r="AK162" s="19">
        <f t="shared" si="76"/>
        <v>43.409493707701358</v>
      </c>
      <c r="AL162" s="23">
        <f t="shared" si="67"/>
        <v>1155.0664937077013</v>
      </c>
      <c r="AM162" s="22">
        <f>(1/(2*LOG(3.7*($I162-0.008)/'Calculation Constants'!$B$5*1000)))^2</f>
        <v>1.4104604303736145E-2</v>
      </c>
      <c r="AN162" s="19">
        <f t="shared" si="77"/>
        <v>0.75676661531854661</v>
      </c>
      <c r="AO162" s="19">
        <f>IF($H162&gt;0,'Calculation Constants'!$B$9*Hydraulics!$K162^2/2/9.81/MAX($F$4:$F$253)*$H162,"")</f>
        <v>3.5282785359788842E-2</v>
      </c>
      <c r="AP162" s="19">
        <f t="shared" si="78"/>
        <v>0.7920494006783354</v>
      </c>
      <c r="AQ162" s="19">
        <f t="shared" si="68"/>
        <v>0</v>
      </c>
      <c r="AR162" s="19">
        <f t="shared" si="79"/>
        <v>36.184776969478662</v>
      </c>
      <c r="AS162" s="23">
        <f t="shared" si="69"/>
        <v>1147.8417769694786</v>
      </c>
    </row>
    <row r="163" spans="5:45">
      <c r="E163" s="35" t="str">
        <f t="shared" si="55"/>
        <v/>
      </c>
      <c r="F163" s="19">
        <f>'Profile data'!A163</f>
        <v>320</v>
      </c>
      <c r="G163" s="19">
        <f>VLOOKUP(F163,'Profile data'!A163:C422,IF($B$22="Botswana 1",2,3))</f>
        <v>1122.9349999999999</v>
      </c>
      <c r="H163" s="19">
        <f t="shared" si="80"/>
        <v>2</v>
      </c>
      <c r="I163" s="19">
        <v>2.2000000000000002</v>
      </c>
      <c r="J163" s="36">
        <f>'Flow Rate Calculations'!$B$7</f>
        <v>4.0831050228310497</v>
      </c>
      <c r="K163" s="36">
        <f t="shared" si="70"/>
        <v>1.0741261942924094</v>
      </c>
      <c r="L163" s="37">
        <f>$I163*$K163/'Calculation Constants'!$B$7</f>
        <v>2091219.139330355</v>
      </c>
      <c r="M163" s="37" t="str">
        <f t="shared" si="56"/>
        <v>Greater Dynamic Pressures</v>
      </c>
      <c r="N163" s="23">
        <f t="shared" si="71"/>
        <v>38.102338731956024</v>
      </c>
      <c r="O163" s="55">
        <f t="shared" si="57"/>
        <v>35.588004819881917</v>
      </c>
      <c r="P163" s="64">
        <f>MAX(I163*1000/'Calculation Constants'!$B$14,O163*10*I163*1000/2/('Calculation Constants'!$B$12*1000*'Calculation Constants'!$B$13))</f>
        <v>13.75</v>
      </c>
      <c r="Q163" s="66">
        <f t="shared" si="58"/>
        <v>1482695.7604373412</v>
      </c>
      <c r="R163" s="27">
        <f>(1/(2*LOG(3.7*$I163/'Calculation Constants'!$B$2*1000)))^2</f>
        <v>8.4679866037394684E-3</v>
      </c>
      <c r="S163" s="19">
        <f t="shared" si="72"/>
        <v>0.45268811177167712</v>
      </c>
      <c r="T163" s="19">
        <f>IF($H163&gt;0,'Calculation Constants'!$B$9*Hydraulics!$K163^2/2/9.81/MAX($F$4:$F$253)*$H163,"")</f>
        <v>3.5282785359788842E-2</v>
      </c>
      <c r="U163" s="19">
        <f t="shared" si="73"/>
        <v>0.48797089713146596</v>
      </c>
      <c r="V163" s="19">
        <f t="shared" si="59"/>
        <v>0</v>
      </c>
      <c r="W163" s="19">
        <f t="shared" si="60"/>
        <v>38.102338731956024</v>
      </c>
      <c r="X163" s="23">
        <f t="shared" si="61"/>
        <v>1161.037338731956</v>
      </c>
      <c r="Y163" s="22">
        <f>(1/(2*LOG(3.7*$I163/'Calculation Constants'!$B$3*1000)))^2</f>
        <v>9.4904462912918219E-3</v>
      </c>
      <c r="Z163" s="19">
        <f t="shared" si="62"/>
        <v>0.50734754464280807</v>
      </c>
      <c r="AA163" s="19">
        <f>IF($H163&gt;0,'Calculation Constants'!$B$9*Hydraulics!$K163^2/2/9.81/MAX($F$4:$F$253)*$H163,"")</f>
        <v>3.5282785359788842E-2</v>
      </c>
      <c r="AB163" s="19">
        <f t="shared" si="81"/>
        <v>0.54263033000259686</v>
      </c>
      <c r="AC163" s="19">
        <f t="shared" si="63"/>
        <v>0</v>
      </c>
      <c r="AD163" s="19">
        <f t="shared" si="74"/>
        <v>35.588004819881917</v>
      </c>
      <c r="AE163" s="23">
        <f t="shared" si="64"/>
        <v>1158.5230048198819</v>
      </c>
      <c r="AF163" s="27">
        <f>(1/(2*LOG(3.7*$I163/'Calculation Constants'!$B$4*1000)))^2</f>
        <v>1.1152845500629007E-2</v>
      </c>
      <c r="AG163" s="19">
        <f t="shared" si="65"/>
        <v>0.59621735446906032</v>
      </c>
      <c r="AH163" s="19">
        <f>IF($H163&gt;0,'Calculation Constants'!$B$9*Hydraulics!$K163^2/2/9.81/MAX($F$4:$F$253)*$H163,"")</f>
        <v>3.5282785359788842E-2</v>
      </c>
      <c r="AI163" s="19">
        <f t="shared" si="75"/>
        <v>0.63150013982884912</v>
      </c>
      <c r="AJ163" s="19">
        <f t="shared" si="66"/>
        <v>0</v>
      </c>
      <c r="AK163" s="19">
        <f t="shared" si="76"/>
        <v>31.49999356787248</v>
      </c>
      <c r="AL163" s="23">
        <f t="shared" si="67"/>
        <v>1154.4349935678724</v>
      </c>
      <c r="AM163" s="22">
        <f>(1/(2*LOG(3.7*($I163-0.008)/'Calculation Constants'!$B$5*1000)))^2</f>
        <v>1.4104604303736145E-2</v>
      </c>
      <c r="AN163" s="19">
        <f t="shared" si="77"/>
        <v>0.75676661531854661</v>
      </c>
      <c r="AO163" s="19">
        <f>IF($H163&gt;0,'Calculation Constants'!$B$9*Hydraulics!$K163^2/2/9.81/MAX($F$4:$F$253)*$H163,"")</f>
        <v>3.5282785359788842E-2</v>
      </c>
      <c r="AP163" s="19">
        <f t="shared" si="78"/>
        <v>0.7920494006783354</v>
      </c>
      <c r="AQ163" s="19">
        <f t="shared" si="68"/>
        <v>0</v>
      </c>
      <c r="AR163" s="19">
        <f t="shared" si="79"/>
        <v>24.11472756880039</v>
      </c>
      <c r="AS163" s="23">
        <f t="shared" si="69"/>
        <v>1147.0497275688003</v>
      </c>
    </row>
    <row r="164" spans="5:45">
      <c r="E164" s="35" t="str">
        <f t="shared" si="55"/>
        <v/>
      </c>
      <c r="F164" s="19">
        <f>'Profile data'!A164</f>
        <v>322</v>
      </c>
      <c r="G164" s="19">
        <f>VLOOKUP(F164,'Profile data'!A164:C423,IF($B$22="Botswana 1",2,3))</f>
        <v>1128.1969999999999</v>
      </c>
      <c r="H164" s="19">
        <f t="shared" si="80"/>
        <v>2</v>
      </c>
      <c r="I164" s="19">
        <v>2.2000000000000002</v>
      </c>
      <c r="J164" s="36">
        <f>'Flow Rate Calculations'!$B$7</f>
        <v>4.0831050228310497</v>
      </c>
      <c r="K164" s="36">
        <f t="shared" si="70"/>
        <v>1.0741261942924094</v>
      </c>
      <c r="L164" s="37">
        <f>$I164*$K164/'Calculation Constants'!$B$7</f>
        <v>2091219.139330355</v>
      </c>
      <c r="M164" s="37" t="str">
        <f t="shared" si="56"/>
        <v>Greater Dynamic Pressures</v>
      </c>
      <c r="N164" s="23">
        <f t="shared" si="71"/>
        <v>32.35236783482469</v>
      </c>
      <c r="O164" s="55">
        <f t="shared" si="57"/>
        <v>29.783374489879407</v>
      </c>
      <c r="P164" s="64">
        <f>MAX(I164*1000/'Calculation Constants'!$B$14,O164*10*I164*1000/2/('Calculation Constants'!$B$12*1000*'Calculation Constants'!$B$13))</f>
        <v>13.75</v>
      </c>
      <c r="Q164" s="66">
        <f t="shared" si="58"/>
        <v>1482695.7604373412</v>
      </c>
      <c r="R164" s="27">
        <f>(1/(2*LOG(3.7*$I164/'Calculation Constants'!$B$2*1000)))^2</f>
        <v>8.4679866037394684E-3</v>
      </c>
      <c r="S164" s="19">
        <f t="shared" si="72"/>
        <v>0.45268811177167712</v>
      </c>
      <c r="T164" s="19">
        <f>IF($H164&gt;0,'Calculation Constants'!$B$9*Hydraulics!$K164^2/2/9.81/MAX($F$4:$F$253)*$H164,"")</f>
        <v>3.5282785359788842E-2</v>
      </c>
      <c r="U164" s="19">
        <f t="shared" si="73"/>
        <v>0.48797089713146596</v>
      </c>
      <c r="V164" s="19">
        <f t="shared" si="59"/>
        <v>0</v>
      </c>
      <c r="W164" s="19">
        <f t="shared" si="60"/>
        <v>32.35236783482469</v>
      </c>
      <c r="X164" s="23">
        <f t="shared" si="61"/>
        <v>1160.5493678348246</v>
      </c>
      <c r="Y164" s="22">
        <f>(1/(2*LOG(3.7*$I164/'Calculation Constants'!$B$3*1000)))^2</f>
        <v>9.4904462912918219E-3</v>
      </c>
      <c r="Z164" s="19">
        <f t="shared" si="62"/>
        <v>0.50734754464280807</v>
      </c>
      <c r="AA164" s="19">
        <f>IF($H164&gt;0,'Calculation Constants'!$B$9*Hydraulics!$K164^2/2/9.81/MAX($F$4:$F$253)*$H164,"")</f>
        <v>3.5282785359788842E-2</v>
      </c>
      <c r="AB164" s="19">
        <f t="shared" si="81"/>
        <v>0.54263033000259686</v>
      </c>
      <c r="AC164" s="19">
        <f t="shared" si="63"/>
        <v>0</v>
      </c>
      <c r="AD164" s="19">
        <f t="shared" si="74"/>
        <v>29.783374489879407</v>
      </c>
      <c r="AE164" s="23">
        <f t="shared" si="64"/>
        <v>1157.9803744898793</v>
      </c>
      <c r="AF164" s="27">
        <f>(1/(2*LOG(3.7*$I164/'Calculation Constants'!$B$4*1000)))^2</f>
        <v>1.1152845500629007E-2</v>
      </c>
      <c r="AG164" s="19">
        <f t="shared" si="65"/>
        <v>0.59621735446906032</v>
      </c>
      <c r="AH164" s="19">
        <f>IF($H164&gt;0,'Calculation Constants'!$B$9*Hydraulics!$K164^2/2/9.81/MAX($F$4:$F$253)*$H164,"")</f>
        <v>3.5282785359788842E-2</v>
      </c>
      <c r="AI164" s="19">
        <f t="shared" si="75"/>
        <v>0.63150013982884912</v>
      </c>
      <c r="AJ164" s="19">
        <f t="shared" si="66"/>
        <v>0</v>
      </c>
      <c r="AK164" s="19">
        <f t="shared" si="76"/>
        <v>25.606493428043677</v>
      </c>
      <c r="AL164" s="23">
        <f t="shared" si="67"/>
        <v>1153.8034934280436</v>
      </c>
      <c r="AM164" s="22">
        <f>(1/(2*LOG(3.7*($I164-0.008)/'Calculation Constants'!$B$5*1000)))^2</f>
        <v>1.4104604303736145E-2</v>
      </c>
      <c r="AN164" s="19">
        <f t="shared" si="77"/>
        <v>0.75676661531854661</v>
      </c>
      <c r="AO164" s="19">
        <f>IF($H164&gt;0,'Calculation Constants'!$B$9*Hydraulics!$K164^2/2/9.81/MAX($F$4:$F$253)*$H164,"")</f>
        <v>3.5282785359788842E-2</v>
      </c>
      <c r="AP164" s="19">
        <f t="shared" si="78"/>
        <v>0.7920494006783354</v>
      </c>
      <c r="AQ164" s="19">
        <f t="shared" si="68"/>
        <v>0</v>
      </c>
      <c r="AR164" s="19">
        <f t="shared" si="79"/>
        <v>18.060678168122195</v>
      </c>
      <c r="AS164" s="23">
        <f t="shared" si="69"/>
        <v>1146.2576781681221</v>
      </c>
    </row>
    <row r="165" spans="5:45">
      <c r="E165" s="35" t="str">
        <f t="shared" si="55"/>
        <v/>
      </c>
      <c r="F165" s="19">
        <f>'Profile data'!A165</f>
        <v>324</v>
      </c>
      <c r="G165" s="19">
        <f>VLOOKUP(F165,'Profile data'!A165:C424,IF($B$22="Botswana 1",2,3))</f>
        <v>1132.5609999999999</v>
      </c>
      <c r="H165" s="19">
        <f t="shared" si="80"/>
        <v>2</v>
      </c>
      <c r="I165" s="19">
        <v>2.2000000000000002</v>
      </c>
      <c r="J165" s="36">
        <f>'Flow Rate Calculations'!$B$7</f>
        <v>4.0831050228310497</v>
      </c>
      <c r="K165" s="36">
        <f t="shared" si="70"/>
        <v>1.0741261942924094</v>
      </c>
      <c r="L165" s="37">
        <f>$I165*$K165/'Calculation Constants'!$B$7</f>
        <v>2091219.139330355</v>
      </c>
      <c r="M165" s="37" t="str">
        <f t="shared" si="56"/>
        <v>Greater Dynamic Pressures</v>
      </c>
      <c r="N165" s="23">
        <f t="shared" si="71"/>
        <v>27.500396937693267</v>
      </c>
      <c r="O165" s="55">
        <f t="shared" si="57"/>
        <v>24.876744159876807</v>
      </c>
      <c r="P165" s="64">
        <f>MAX(I165*1000/'Calculation Constants'!$B$14,O165*10*I165*1000/2/('Calculation Constants'!$B$12*1000*'Calculation Constants'!$B$13))</f>
        <v>13.75</v>
      </c>
      <c r="Q165" s="66">
        <f t="shared" si="58"/>
        <v>1482695.7604373412</v>
      </c>
      <c r="R165" s="27">
        <f>(1/(2*LOG(3.7*$I165/'Calculation Constants'!$B$2*1000)))^2</f>
        <v>8.4679866037394684E-3</v>
      </c>
      <c r="S165" s="19">
        <f t="shared" si="72"/>
        <v>0.45268811177167712</v>
      </c>
      <c r="T165" s="19">
        <f>IF($H165&gt;0,'Calculation Constants'!$B$9*Hydraulics!$K165^2/2/9.81/MAX($F$4:$F$253)*$H165,"")</f>
        <v>3.5282785359788842E-2</v>
      </c>
      <c r="U165" s="19">
        <f t="shared" si="73"/>
        <v>0.48797089713146596</v>
      </c>
      <c r="V165" s="19">
        <f t="shared" si="59"/>
        <v>0</v>
      </c>
      <c r="W165" s="19">
        <f t="shared" si="60"/>
        <v>27.500396937693267</v>
      </c>
      <c r="X165" s="23">
        <f t="shared" si="61"/>
        <v>1160.0613969376932</v>
      </c>
      <c r="Y165" s="22">
        <f>(1/(2*LOG(3.7*$I165/'Calculation Constants'!$B$3*1000)))^2</f>
        <v>9.4904462912918219E-3</v>
      </c>
      <c r="Z165" s="19">
        <f t="shared" si="62"/>
        <v>0.50734754464280807</v>
      </c>
      <c r="AA165" s="19">
        <f>IF($H165&gt;0,'Calculation Constants'!$B$9*Hydraulics!$K165^2/2/9.81/MAX($F$4:$F$253)*$H165,"")</f>
        <v>3.5282785359788842E-2</v>
      </c>
      <c r="AB165" s="19">
        <f t="shared" si="81"/>
        <v>0.54263033000259686</v>
      </c>
      <c r="AC165" s="19">
        <f t="shared" si="63"/>
        <v>0</v>
      </c>
      <c r="AD165" s="19">
        <f t="shared" si="74"/>
        <v>24.876744159876807</v>
      </c>
      <c r="AE165" s="23">
        <f t="shared" si="64"/>
        <v>1157.4377441598767</v>
      </c>
      <c r="AF165" s="27">
        <f>(1/(2*LOG(3.7*$I165/'Calculation Constants'!$B$4*1000)))^2</f>
        <v>1.1152845500629007E-2</v>
      </c>
      <c r="AG165" s="19">
        <f t="shared" si="65"/>
        <v>0.59621735446906032</v>
      </c>
      <c r="AH165" s="19">
        <f>IF($H165&gt;0,'Calculation Constants'!$B$9*Hydraulics!$K165^2/2/9.81/MAX($F$4:$F$253)*$H165,"")</f>
        <v>3.5282785359788842E-2</v>
      </c>
      <c r="AI165" s="19">
        <f t="shared" si="75"/>
        <v>0.63150013982884912</v>
      </c>
      <c r="AJ165" s="19">
        <f t="shared" si="66"/>
        <v>0</v>
      </c>
      <c r="AK165" s="19">
        <f t="shared" si="76"/>
        <v>20.610993288214786</v>
      </c>
      <c r="AL165" s="23">
        <f t="shared" si="67"/>
        <v>1153.1719932882147</v>
      </c>
      <c r="AM165" s="22">
        <f>(1/(2*LOG(3.7*($I165-0.008)/'Calculation Constants'!$B$5*1000)))^2</f>
        <v>1.4104604303736145E-2</v>
      </c>
      <c r="AN165" s="19">
        <f t="shared" si="77"/>
        <v>0.75676661531854661</v>
      </c>
      <c r="AO165" s="19">
        <f>IF($H165&gt;0,'Calculation Constants'!$B$9*Hydraulics!$K165^2/2/9.81/MAX($F$4:$F$253)*$H165,"")</f>
        <v>3.5282785359788842E-2</v>
      </c>
      <c r="AP165" s="19">
        <f t="shared" si="78"/>
        <v>0.7920494006783354</v>
      </c>
      <c r="AQ165" s="19">
        <f t="shared" si="68"/>
        <v>0</v>
      </c>
      <c r="AR165" s="19">
        <f t="shared" si="79"/>
        <v>12.90462876744391</v>
      </c>
      <c r="AS165" s="23">
        <f t="shared" si="69"/>
        <v>1145.4656287674438</v>
      </c>
    </row>
    <row r="166" spans="5:45">
      <c r="E166" s="35" t="str">
        <f t="shared" si="55"/>
        <v/>
      </c>
      <c r="F166" s="19">
        <f>'Profile data'!A166</f>
        <v>326</v>
      </c>
      <c r="G166" s="19">
        <f>VLOOKUP(F166,'Profile data'!A166:C425,IF($B$22="Botswana 1",2,3))</f>
        <v>1131.854</v>
      </c>
      <c r="H166" s="19">
        <f t="shared" si="80"/>
        <v>2</v>
      </c>
      <c r="I166" s="19">
        <v>2.2000000000000002</v>
      </c>
      <c r="J166" s="36">
        <f>'Flow Rate Calculations'!$B$7</f>
        <v>4.0831050228310497</v>
      </c>
      <c r="K166" s="36">
        <f t="shared" si="70"/>
        <v>1.0741261942924094</v>
      </c>
      <c r="L166" s="37">
        <f>$I166*$K166/'Calculation Constants'!$B$7</f>
        <v>2091219.139330355</v>
      </c>
      <c r="M166" s="37" t="str">
        <f t="shared" si="56"/>
        <v>Greater Dynamic Pressures</v>
      </c>
      <c r="N166" s="23">
        <f t="shared" si="71"/>
        <v>27.719426040561757</v>
      </c>
      <c r="O166" s="55">
        <f t="shared" si="57"/>
        <v>25.041113829874121</v>
      </c>
      <c r="P166" s="64">
        <f>MAX(I166*1000/'Calculation Constants'!$B$14,O166*10*I166*1000/2/('Calculation Constants'!$B$12*1000*'Calculation Constants'!$B$13))</f>
        <v>13.75</v>
      </c>
      <c r="Q166" s="66">
        <f t="shared" si="58"/>
        <v>1482695.7604373412</v>
      </c>
      <c r="R166" s="27">
        <f>(1/(2*LOG(3.7*$I166/'Calculation Constants'!$B$2*1000)))^2</f>
        <v>8.4679866037394684E-3</v>
      </c>
      <c r="S166" s="19">
        <f t="shared" si="72"/>
        <v>0.45268811177167712</v>
      </c>
      <c r="T166" s="19">
        <f>IF($H166&gt;0,'Calculation Constants'!$B$9*Hydraulics!$K166^2/2/9.81/MAX($F$4:$F$253)*$H166,"")</f>
        <v>3.5282785359788842E-2</v>
      </c>
      <c r="U166" s="19">
        <f t="shared" si="73"/>
        <v>0.48797089713146596</v>
      </c>
      <c r="V166" s="19">
        <f t="shared" si="59"/>
        <v>0</v>
      </c>
      <c r="W166" s="19">
        <f t="shared" si="60"/>
        <v>27.719426040561757</v>
      </c>
      <c r="X166" s="23">
        <f t="shared" si="61"/>
        <v>1159.5734260405618</v>
      </c>
      <c r="Y166" s="22">
        <f>(1/(2*LOG(3.7*$I166/'Calculation Constants'!$B$3*1000)))^2</f>
        <v>9.4904462912918219E-3</v>
      </c>
      <c r="Z166" s="19">
        <f t="shared" si="62"/>
        <v>0.50734754464280807</v>
      </c>
      <c r="AA166" s="19">
        <f>IF($H166&gt;0,'Calculation Constants'!$B$9*Hydraulics!$K166^2/2/9.81/MAX($F$4:$F$253)*$H166,"")</f>
        <v>3.5282785359788842E-2</v>
      </c>
      <c r="AB166" s="19">
        <f t="shared" si="81"/>
        <v>0.54263033000259686</v>
      </c>
      <c r="AC166" s="19">
        <f t="shared" si="63"/>
        <v>0</v>
      </c>
      <c r="AD166" s="19">
        <f t="shared" si="74"/>
        <v>25.041113829874121</v>
      </c>
      <c r="AE166" s="23">
        <f t="shared" si="64"/>
        <v>1156.8951138298742</v>
      </c>
      <c r="AF166" s="27">
        <f>(1/(2*LOG(3.7*$I166/'Calculation Constants'!$B$4*1000)))^2</f>
        <v>1.1152845500629007E-2</v>
      </c>
      <c r="AG166" s="19">
        <f t="shared" si="65"/>
        <v>0.59621735446906032</v>
      </c>
      <c r="AH166" s="19">
        <f>IF($H166&gt;0,'Calculation Constants'!$B$9*Hydraulics!$K166^2/2/9.81/MAX($F$4:$F$253)*$H166,"")</f>
        <v>3.5282785359788842E-2</v>
      </c>
      <c r="AI166" s="19">
        <f t="shared" si="75"/>
        <v>0.63150013982884912</v>
      </c>
      <c r="AJ166" s="19">
        <f t="shared" si="66"/>
        <v>0</v>
      </c>
      <c r="AK166" s="19">
        <f t="shared" si="76"/>
        <v>20.686493148385807</v>
      </c>
      <c r="AL166" s="23">
        <f t="shared" si="67"/>
        <v>1152.5404931483858</v>
      </c>
      <c r="AM166" s="22">
        <f>(1/(2*LOG(3.7*($I166-0.008)/'Calculation Constants'!$B$5*1000)))^2</f>
        <v>1.4104604303736145E-2</v>
      </c>
      <c r="AN166" s="19">
        <f t="shared" si="77"/>
        <v>0.75676661531854661</v>
      </c>
      <c r="AO166" s="19">
        <f>IF($H166&gt;0,'Calculation Constants'!$B$9*Hydraulics!$K166^2/2/9.81/MAX($F$4:$F$253)*$H166,"")</f>
        <v>3.5282785359788842E-2</v>
      </c>
      <c r="AP166" s="19">
        <f t="shared" si="78"/>
        <v>0.7920494006783354</v>
      </c>
      <c r="AQ166" s="19">
        <f t="shared" si="68"/>
        <v>0</v>
      </c>
      <c r="AR166" s="19">
        <f t="shared" si="79"/>
        <v>12.819579366765538</v>
      </c>
      <c r="AS166" s="23">
        <f t="shared" si="69"/>
        <v>1144.6735793667656</v>
      </c>
    </row>
    <row r="167" spans="5:45">
      <c r="E167" s="35" t="str">
        <f t="shared" si="55"/>
        <v/>
      </c>
      <c r="F167" s="19">
        <f>'Profile data'!A167</f>
        <v>328</v>
      </c>
      <c r="G167" s="19">
        <f>VLOOKUP(F167,'Profile data'!A167:C426,IF($B$22="Botswana 1",2,3))</f>
        <v>1133.338</v>
      </c>
      <c r="H167" s="19">
        <f t="shared" si="80"/>
        <v>2</v>
      </c>
      <c r="I167" s="19">
        <v>2.2000000000000002</v>
      </c>
      <c r="J167" s="36">
        <f>'Flow Rate Calculations'!$B$7</f>
        <v>4.0831050228310497</v>
      </c>
      <c r="K167" s="36">
        <f t="shared" si="70"/>
        <v>1.0741261942924094</v>
      </c>
      <c r="L167" s="37">
        <f>$I167*$K167/'Calculation Constants'!$B$7</f>
        <v>2091219.139330355</v>
      </c>
      <c r="M167" s="37" t="str">
        <f t="shared" si="56"/>
        <v>Greater Dynamic Pressures</v>
      </c>
      <c r="N167" s="23">
        <f t="shared" si="71"/>
        <v>25.747455143430443</v>
      </c>
      <c r="O167" s="55">
        <f t="shared" si="57"/>
        <v>23.014483499871631</v>
      </c>
      <c r="P167" s="64">
        <f>MAX(I167*1000/'Calculation Constants'!$B$14,O167*10*I167*1000/2/('Calculation Constants'!$B$12*1000*'Calculation Constants'!$B$13))</f>
        <v>13.75</v>
      </c>
      <c r="Q167" s="66">
        <f t="shared" si="58"/>
        <v>1482695.7604373412</v>
      </c>
      <c r="R167" s="27">
        <f>(1/(2*LOG(3.7*$I167/'Calculation Constants'!$B$2*1000)))^2</f>
        <v>8.4679866037394684E-3</v>
      </c>
      <c r="S167" s="19">
        <f t="shared" si="72"/>
        <v>0.45268811177167712</v>
      </c>
      <c r="T167" s="19">
        <f>IF($H167&gt;0,'Calculation Constants'!$B$9*Hydraulics!$K167^2/2/9.81/MAX($F$4:$F$253)*$H167,"")</f>
        <v>3.5282785359788842E-2</v>
      </c>
      <c r="U167" s="19">
        <f t="shared" si="73"/>
        <v>0.48797089713146596</v>
      </c>
      <c r="V167" s="19">
        <f t="shared" si="59"/>
        <v>0</v>
      </c>
      <c r="W167" s="19">
        <f t="shared" si="60"/>
        <v>25.747455143430443</v>
      </c>
      <c r="X167" s="23">
        <f t="shared" si="61"/>
        <v>1159.0854551434304</v>
      </c>
      <c r="Y167" s="22">
        <f>(1/(2*LOG(3.7*$I167/'Calculation Constants'!$B$3*1000)))^2</f>
        <v>9.4904462912918219E-3</v>
      </c>
      <c r="Z167" s="19">
        <f t="shared" si="62"/>
        <v>0.50734754464280807</v>
      </c>
      <c r="AA167" s="19">
        <f>IF($H167&gt;0,'Calculation Constants'!$B$9*Hydraulics!$K167^2/2/9.81/MAX($F$4:$F$253)*$H167,"")</f>
        <v>3.5282785359788842E-2</v>
      </c>
      <c r="AB167" s="19">
        <f t="shared" si="81"/>
        <v>0.54263033000259686</v>
      </c>
      <c r="AC167" s="19">
        <f t="shared" si="63"/>
        <v>0</v>
      </c>
      <c r="AD167" s="19">
        <f t="shared" si="74"/>
        <v>23.014483499871631</v>
      </c>
      <c r="AE167" s="23">
        <f t="shared" si="64"/>
        <v>1156.3524834998716</v>
      </c>
      <c r="AF167" s="27">
        <f>(1/(2*LOG(3.7*$I167/'Calculation Constants'!$B$4*1000)))^2</f>
        <v>1.1152845500629007E-2</v>
      </c>
      <c r="AG167" s="19">
        <f t="shared" si="65"/>
        <v>0.59621735446906032</v>
      </c>
      <c r="AH167" s="19">
        <f>IF($H167&gt;0,'Calculation Constants'!$B$9*Hydraulics!$K167^2/2/9.81/MAX($F$4:$F$253)*$H167,"")</f>
        <v>3.5282785359788842E-2</v>
      </c>
      <c r="AI167" s="19">
        <f t="shared" si="75"/>
        <v>0.63150013982884912</v>
      </c>
      <c r="AJ167" s="19">
        <f t="shared" si="66"/>
        <v>0</v>
      </c>
      <c r="AK167" s="19">
        <f t="shared" si="76"/>
        <v>18.570993008557025</v>
      </c>
      <c r="AL167" s="23">
        <f t="shared" si="67"/>
        <v>1151.908993008557</v>
      </c>
      <c r="AM167" s="22">
        <f>(1/(2*LOG(3.7*($I167-0.008)/'Calculation Constants'!$B$5*1000)))^2</f>
        <v>1.4104604303736145E-2</v>
      </c>
      <c r="AN167" s="19">
        <f t="shared" si="77"/>
        <v>0.75676661531854661</v>
      </c>
      <c r="AO167" s="19">
        <f>IF($H167&gt;0,'Calculation Constants'!$B$9*Hydraulics!$K167^2/2/9.81/MAX($F$4:$F$253)*$H167,"")</f>
        <v>3.5282785359788842E-2</v>
      </c>
      <c r="AP167" s="19">
        <f t="shared" si="78"/>
        <v>0.7920494006783354</v>
      </c>
      <c r="AQ167" s="19">
        <f t="shared" si="68"/>
        <v>0</v>
      </c>
      <c r="AR167" s="19">
        <f t="shared" si="79"/>
        <v>10.543529966087362</v>
      </c>
      <c r="AS167" s="23">
        <f t="shared" si="69"/>
        <v>1143.8815299660873</v>
      </c>
    </row>
    <row r="168" spans="5:45">
      <c r="E168" s="35" t="str">
        <f t="shared" si="55"/>
        <v/>
      </c>
      <c r="F168" s="19">
        <f>'Profile data'!A168</f>
        <v>330</v>
      </c>
      <c r="G168" s="19">
        <f>VLOOKUP(F168,'Profile data'!A168:C427,IF($B$22="Botswana 1",2,3))</f>
        <v>1136.405</v>
      </c>
      <c r="H168" s="19">
        <f t="shared" si="80"/>
        <v>2</v>
      </c>
      <c r="I168" s="19">
        <v>2.2000000000000002</v>
      </c>
      <c r="J168" s="36">
        <f>'Flow Rate Calculations'!$B$7</f>
        <v>4.0831050228310497</v>
      </c>
      <c r="K168" s="36">
        <f t="shared" si="70"/>
        <v>1.0741261942924094</v>
      </c>
      <c r="L168" s="37">
        <f>$I168*$K168/'Calculation Constants'!$B$7</f>
        <v>2091219.139330355</v>
      </c>
      <c r="M168" s="37" t="str">
        <f t="shared" si="56"/>
        <v>Greater Dynamic Pressures</v>
      </c>
      <c r="N168" s="23">
        <f t="shared" si="71"/>
        <v>22.192484246299045</v>
      </c>
      <c r="O168" s="55">
        <f t="shared" si="57"/>
        <v>19.404853169869057</v>
      </c>
      <c r="P168" s="64">
        <f>MAX(I168*1000/'Calculation Constants'!$B$14,O168*10*I168*1000/2/('Calculation Constants'!$B$12*1000*'Calculation Constants'!$B$13))</f>
        <v>13.75</v>
      </c>
      <c r="Q168" s="66">
        <f t="shared" si="58"/>
        <v>1482695.7604373412</v>
      </c>
      <c r="R168" s="27">
        <f>(1/(2*LOG(3.7*$I168/'Calculation Constants'!$B$2*1000)))^2</f>
        <v>8.4679866037394684E-3</v>
      </c>
      <c r="S168" s="19">
        <f t="shared" si="72"/>
        <v>0.45268811177167712</v>
      </c>
      <c r="T168" s="19">
        <f>IF($H168&gt;0,'Calculation Constants'!$B$9*Hydraulics!$K168^2/2/9.81/MAX($F$4:$F$253)*$H168,"")</f>
        <v>3.5282785359788842E-2</v>
      </c>
      <c r="U168" s="19">
        <f t="shared" si="73"/>
        <v>0.48797089713146596</v>
      </c>
      <c r="V168" s="19">
        <f t="shared" si="59"/>
        <v>0</v>
      </c>
      <c r="W168" s="19">
        <f t="shared" si="60"/>
        <v>22.192484246299045</v>
      </c>
      <c r="X168" s="23">
        <f t="shared" si="61"/>
        <v>1158.597484246299</v>
      </c>
      <c r="Y168" s="22">
        <f>(1/(2*LOG(3.7*$I168/'Calculation Constants'!$B$3*1000)))^2</f>
        <v>9.4904462912918219E-3</v>
      </c>
      <c r="Z168" s="19">
        <f t="shared" si="62"/>
        <v>0.50734754464280807</v>
      </c>
      <c r="AA168" s="19">
        <f>IF($H168&gt;0,'Calculation Constants'!$B$9*Hydraulics!$K168^2/2/9.81/MAX($F$4:$F$253)*$H168,"")</f>
        <v>3.5282785359788842E-2</v>
      </c>
      <c r="AB168" s="19">
        <f t="shared" si="81"/>
        <v>0.54263033000259686</v>
      </c>
      <c r="AC168" s="19">
        <f t="shared" si="63"/>
        <v>0</v>
      </c>
      <c r="AD168" s="19">
        <f t="shared" si="74"/>
        <v>19.404853169869057</v>
      </c>
      <c r="AE168" s="23">
        <f t="shared" si="64"/>
        <v>1155.809853169869</v>
      </c>
      <c r="AF168" s="27">
        <f>(1/(2*LOG(3.7*$I168/'Calculation Constants'!$B$4*1000)))^2</f>
        <v>1.1152845500629007E-2</v>
      </c>
      <c r="AG168" s="19">
        <f t="shared" si="65"/>
        <v>0.59621735446906032</v>
      </c>
      <c r="AH168" s="19">
        <f>IF($H168&gt;0,'Calculation Constants'!$B$9*Hydraulics!$K168^2/2/9.81/MAX($F$4:$F$253)*$H168,"")</f>
        <v>3.5282785359788842E-2</v>
      </c>
      <c r="AI168" s="19">
        <f t="shared" si="75"/>
        <v>0.63150013982884912</v>
      </c>
      <c r="AJ168" s="19">
        <f t="shared" si="66"/>
        <v>0</v>
      </c>
      <c r="AK168" s="19">
        <f t="shared" si="76"/>
        <v>14.872492868728159</v>
      </c>
      <c r="AL168" s="23">
        <f t="shared" si="67"/>
        <v>1151.2774928687281</v>
      </c>
      <c r="AM168" s="22">
        <f>(1/(2*LOG(3.7*($I168-0.008)/'Calculation Constants'!$B$5*1000)))^2</f>
        <v>1.4104604303736145E-2</v>
      </c>
      <c r="AN168" s="19">
        <f t="shared" si="77"/>
        <v>0.75676661531854661</v>
      </c>
      <c r="AO168" s="19">
        <f>IF($H168&gt;0,'Calculation Constants'!$B$9*Hydraulics!$K168^2/2/9.81/MAX($F$4:$F$253)*$H168,"")</f>
        <v>3.5282785359788842E-2</v>
      </c>
      <c r="AP168" s="19">
        <f t="shared" si="78"/>
        <v>0.7920494006783354</v>
      </c>
      <c r="AQ168" s="19">
        <f t="shared" si="68"/>
        <v>0</v>
      </c>
      <c r="AR168" s="19">
        <f t="shared" si="79"/>
        <v>6.6844805654091033</v>
      </c>
      <c r="AS168" s="23">
        <f t="shared" si="69"/>
        <v>1143.0894805654091</v>
      </c>
    </row>
    <row r="169" spans="5:45">
      <c r="E169" s="35" t="str">
        <f t="shared" si="55"/>
        <v/>
      </c>
      <c r="F169" s="19">
        <f>'Profile data'!A169</f>
        <v>332</v>
      </c>
      <c r="G169" s="19">
        <f>VLOOKUP(F169,'Profile data'!A169:C428,IF($B$22="Botswana 1",2,3))</f>
        <v>1128.7090000000001</v>
      </c>
      <c r="H169" s="19">
        <f t="shared" si="80"/>
        <v>2</v>
      </c>
      <c r="I169" s="19">
        <v>2.2000000000000002</v>
      </c>
      <c r="J169" s="36">
        <f>'Flow Rate Calculations'!$B$7</f>
        <v>4.0831050228310497</v>
      </c>
      <c r="K169" s="36">
        <f t="shared" si="70"/>
        <v>1.0741261942924094</v>
      </c>
      <c r="L169" s="37">
        <f>$I169*$K169/'Calculation Constants'!$B$7</f>
        <v>2091219.139330355</v>
      </c>
      <c r="M169" s="37" t="str">
        <f t="shared" si="56"/>
        <v>Greater Dynamic Pressures</v>
      </c>
      <c r="N169" s="23">
        <f t="shared" si="71"/>
        <v>29.400513349167568</v>
      </c>
      <c r="O169" s="55">
        <f t="shared" si="57"/>
        <v>26.558222839866403</v>
      </c>
      <c r="P169" s="64">
        <f>MAX(I169*1000/'Calculation Constants'!$B$14,O169*10*I169*1000/2/('Calculation Constants'!$B$12*1000*'Calculation Constants'!$B$13))</f>
        <v>13.75</v>
      </c>
      <c r="Q169" s="66">
        <f t="shared" si="58"/>
        <v>1482695.7604373412</v>
      </c>
      <c r="R169" s="27">
        <f>(1/(2*LOG(3.7*$I169/'Calculation Constants'!$B$2*1000)))^2</f>
        <v>8.4679866037394684E-3</v>
      </c>
      <c r="S169" s="19">
        <f t="shared" si="72"/>
        <v>0.45268811177167712</v>
      </c>
      <c r="T169" s="19">
        <f>IF($H169&gt;0,'Calculation Constants'!$B$9*Hydraulics!$K169^2/2/9.81/MAX($F$4:$F$253)*$H169,"")</f>
        <v>3.5282785359788842E-2</v>
      </c>
      <c r="U169" s="19">
        <f t="shared" si="73"/>
        <v>0.48797089713146596</v>
      </c>
      <c r="V169" s="19">
        <f t="shared" si="59"/>
        <v>0</v>
      </c>
      <c r="W169" s="19">
        <f t="shared" si="60"/>
        <v>29.400513349167568</v>
      </c>
      <c r="X169" s="23">
        <f t="shared" si="61"/>
        <v>1158.1095133491676</v>
      </c>
      <c r="Y169" s="22">
        <f>(1/(2*LOG(3.7*$I169/'Calculation Constants'!$B$3*1000)))^2</f>
        <v>9.4904462912918219E-3</v>
      </c>
      <c r="Z169" s="19">
        <f t="shared" si="62"/>
        <v>0.50734754464280807</v>
      </c>
      <c r="AA169" s="19">
        <f>IF($H169&gt;0,'Calculation Constants'!$B$9*Hydraulics!$K169^2/2/9.81/MAX($F$4:$F$253)*$H169,"")</f>
        <v>3.5282785359788842E-2</v>
      </c>
      <c r="AB169" s="19">
        <f t="shared" si="81"/>
        <v>0.54263033000259686</v>
      </c>
      <c r="AC169" s="19">
        <f t="shared" si="63"/>
        <v>0</v>
      </c>
      <c r="AD169" s="19">
        <f t="shared" si="74"/>
        <v>26.558222839866403</v>
      </c>
      <c r="AE169" s="23">
        <f t="shared" si="64"/>
        <v>1155.2672228398665</v>
      </c>
      <c r="AF169" s="27">
        <f>(1/(2*LOG(3.7*$I169/'Calculation Constants'!$B$4*1000)))^2</f>
        <v>1.1152845500629007E-2</v>
      </c>
      <c r="AG169" s="19">
        <f t="shared" si="65"/>
        <v>0.59621735446906032</v>
      </c>
      <c r="AH169" s="19">
        <f>IF($H169&gt;0,'Calculation Constants'!$B$9*Hydraulics!$K169^2/2/9.81/MAX($F$4:$F$253)*$H169,"")</f>
        <v>3.5282785359788842E-2</v>
      </c>
      <c r="AI169" s="19">
        <f t="shared" si="75"/>
        <v>0.63150013982884912</v>
      </c>
      <c r="AJ169" s="19">
        <f t="shared" si="66"/>
        <v>0</v>
      </c>
      <c r="AK169" s="19">
        <f t="shared" si="76"/>
        <v>21.936992728899213</v>
      </c>
      <c r="AL169" s="23">
        <f t="shared" si="67"/>
        <v>1150.6459927288993</v>
      </c>
      <c r="AM169" s="22">
        <f>(1/(2*LOG(3.7*($I169-0.008)/'Calculation Constants'!$B$5*1000)))^2</f>
        <v>1.4104604303736145E-2</v>
      </c>
      <c r="AN169" s="19">
        <f t="shared" si="77"/>
        <v>0.75676661531854661</v>
      </c>
      <c r="AO169" s="19">
        <f>IF($H169&gt;0,'Calculation Constants'!$B$9*Hydraulics!$K169^2/2/9.81/MAX($F$4:$F$253)*$H169,"")</f>
        <v>3.5282785359788842E-2</v>
      </c>
      <c r="AP169" s="19">
        <f t="shared" si="78"/>
        <v>0.7920494006783354</v>
      </c>
      <c r="AQ169" s="19">
        <f t="shared" si="68"/>
        <v>0</v>
      </c>
      <c r="AR169" s="19">
        <f t="shared" si="79"/>
        <v>13.588431164730764</v>
      </c>
      <c r="AS169" s="23">
        <f t="shared" si="69"/>
        <v>1142.2974311647308</v>
      </c>
    </row>
    <row r="170" spans="5:45">
      <c r="E170" s="35" t="str">
        <f t="shared" si="55"/>
        <v/>
      </c>
      <c r="F170" s="19">
        <f>'Profile data'!A170</f>
        <v>334</v>
      </c>
      <c r="G170" s="19">
        <f>VLOOKUP(F170,'Profile data'!A170:C429,IF($B$22="Botswana 1",2,3))</f>
        <v>1120.713</v>
      </c>
      <c r="H170" s="19">
        <f t="shared" si="80"/>
        <v>2</v>
      </c>
      <c r="I170" s="19">
        <v>2.2000000000000002</v>
      </c>
      <c r="J170" s="36">
        <f>'Flow Rate Calculations'!$B$7</f>
        <v>4.0831050228310497</v>
      </c>
      <c r="K170" s="36">
        <f t="shared" si="70"/>
        <v>1.0741261942924094</v>
      </c>
      <c r="L170" s="37">
        <f>$I170*$K170/'Calculation Constants'!$B$7</f>
        <v>2091219.139330355</v>
      </c>
      <c r="M170" s="37" t="str">
        <f t="shared" si="56"/>
        <v>Greater Dynamic Pressures</v>
      </c>
      <c r="N170" s="23">
        <f t="shared" si="71"/>
        <v>36.908542452036272</v>
      </c>
      <c r="O170" s="55">
        <f t="shared" si="57"/>
        <v>34.011592509863931</v>
      </c>
      <c r="P170" s="64">
        <f>MAX(I170*1000/'Calculation Constants'!$B$14,O170*10*I170*1000/2/('Calculation Constants'!$B$12*1000*'Calculation Constants'!$B$13))</f>
        <v>13.75</v>
      </c>
      <c r="Q170" s="66">
        <f t="shared" si="58"/>
        <v>1482695.7604373412</v>
      </c>
      <c r="R170" s="27">
        <f>(1/(2*LOG(3.7*$I170/'Calculation Constants'!$B$2*1000)))^2</f>
        <v>8.4679866037394684E-3</v>
      </c>
      <c r="S170" s="19">
        <f t="shared" si="72"/>
        <v>0.45268811177167712</v>
      </c>
      <c r="T170" s="19">
        <f>IF($H170&gt;0,'Calculation Constants'!$B$9*Hydraulics!$K170^2/2/9.81/MAX($F$4:$F$253)*$H170,"")</f>
        <v>3.5282785359788842E-2</v>
      </c>
      <c r="U170" s="19">
        <f t="shared" si="73"/>
        <v>0.48797089713146596</v>
      </c>
      <c r="V170" s="19">
        <f t="shared" si="59"/>
        <v>0</v>
      </c>
      <c r="W170" s="19">
        <f t="shared" si="60"/>
        <v>36.908542452036272</v>
      </c>
      <c r="X170" s="23">
        <f t="shared" si="61"/>
        <v>1157.6215424520362</v>
      </c>
      <c r="Y170" s="22">
        <f>(1/(2*LOG(3.7*$I170/'Calculation Constants'!$B$3*1000)))^2</f>
        <v>9.4904462912918219E-3</v>
      </c>
      <c r="Z170" s="19">
        <f t="shared" si="62"/>
        <v>0.50734754464280807</v>
      </c>
      <c r="AA170" s="19">
        <f>IF($H170&gt;0,'Calculation Constants'!$B$9*Hydraulics!$K170^2/2/9.81/MAX($F$4:$F$253)*$H170,"")</f>
        <v>3.5282785359788842E-2</v>
      </c>
      <c r="AB170" s="19">
        <f t="shared" si="81"/>
        <v>0.54263033000259686</v>
      </c>
      <c r="AC170" s="19">
        <f t="shared" si="63"/>
        <v>0</v>
      </c>
      <c r="AD170" s="19">
        <f t="shared" si="74"/>
        <v>34.011592509863931</v>
      </c>
      <c r="AE170" s="23">
        <f t="shared" si="64"/>
        <v>1154.7245925098639</v>
      </c>
      <c r="AF170" s="27">
        <f>(1/(2*LOG(3.7*$I170/'Calculation Constants'!$B$4*1000)))^2</f>
        <v>1.1152845500629007E-2</v>
      </c>
      <c r="AG170" s="19">
        <f t="shared" si="65"/>
        <v>0.59621735446906032</v>
      </c>
      <c r="AH170" s="19">
        <f>IF($H170&gt;0,'Calculation Constants'!$B$9*Hydraulics!$K170^2/2/9.81/MAX($F$4:$F$253)*$H170,"")</f>
        <v>3.5282785359788842E-2</v>
      </c>
      <c r="AI170" s="19">
        <f t="shared" si="75"/>
        <v>0.63150013982884912</v>
      </c>
      <c r="AJ170" s="19">
        <f t="shared" si="66"/>
        <v>0</v>
      </c>
      <c r="AK170" s="19">
        <f t="shared" si="76"/>
        <v>29.301492589070449</v>
      </c>
      <c r="AL170" s="23">
        <f t="shared" si="67"/>
        <v>1150.0144925890704</v>
      </c>
      <c r="AM170" s="22">
        <f>(1/(2*LOG(3.7*($I170-0.008)/'Calculation Constants'!$B$5*1000)))^2</f>
        <v>1.4104604303736145E-2</v>
      </c>
      <c r="AN170" s="19">
        <f t="shared" si="77"/>
        <v>0.75676661531854661</v>
      </c>
      <c r="AO170" s="19">
        <f>IF($H170&gt;0,'Calculation Constants'!$B$9*Hydraulics!$K170^2/2/9.81/MAX($F$4:$F$253)*$H170,"")</f>
        <v>3.5282785359788842E-2</v>
      </c>
      <c r="AP170" s="19">
        <f t="shared" si="78"/>
        <v>0.7920494006783354</v>
      </c>
      <c r="AQ170" s="19">
        <f t="shared" si="68"/>
        <v>0</v>
      </c>
      <c r="AR170" s="19">
        <f t="shared" si="79"/>
        <v>20.792381764052607</v>
      </c>
      <c r="AS170" s="23">
        <f t="shared" si="69"/>
        <v>1141.5053817640526</v>
      </c>
    </row>
    <row r="171" spans="5:45">
      <c r="E171" s="35" t="str">
        <f t="shared" si="55"/>
        <v/>
      </c>
      <c r="F171" s="19">
        <f>'Profile data'!A171</f>
        <v>336</v>
      </c>
      <c r="G171" s="19">
        <f>VLOOKUP(F171,'Profile data'!A171:C430,IF($B$22="Botswana 1",2,3))</f>
        <v>1115.2260000000001</v>
      </c>
      <c r="H171" s="19">
        <f t="shared" si="80"/>
        <v>2</v>
      </c>
      <c r="I171" s="19">
        <v>1.8</v>
      </c>
      <c r="J171" s="36">
        <f>'Flow Rate Calculations'!$B$7</f>
        <v>4.0831050228310497</v>
      </c>
      <c r="K171" s="36">
        <f t="shared" si="70"/>
        <v>1.6045588828318709</v>
      </c>
      <c r="L171" s="37">
        <f>$I171*$K171/'Calculation Constants'!$B$7</f>
        <v>2555934.503625989</v>
      </c>
      <c r="M171" s="37" t="str">
        <f t="shared" si="56"/>
        <v>Greater Dynamic Pressures</v>
      </c>
      <c r="N171" s="23">
        <f t="shared" si="71"/>
        <v>41.041560498492345</v>
      </c>
      <c r="O171" s="55">
        <f t="shared" si="57"/>
        <v>37.987895046470612</v>
      </c>
      <c r="P171" s="64">
        <f>MAX(I171*1000/'Calculation Constants'!$B$14,O171*10*I171*1000/2/('Calculation Constants'!$B$12*1000*'Calculation Constants'!$B$13))</f>
        <v>11.25</v>
      </c>
      <c r="Q171" s="66">
        <f t="shared" si="58"/>
        <v>992548.40161508287</v>
      </c>
      <c r="R171" s="27">
        <f>(1/(2*LOG(3.7*$I171/'Calculation Constants'!$B$2*1000)))^2</f>
        <v>8.7463077071963571E-3</v>
      </c>
      <c r="S171" s="19">
        <f t="shared" si="72"/>
        <v>1.2752477269849725</v>
      </c>
      <c r="T171" s="19">
        <f>IF($H171&gt;0,'Calculation Constants'!$B$9*Hydraulics!$K171^2/2/9.81/MAX($F$4:$F$253)*$H171,"")</f>
        <v>7.8734226558858159E-2</v>
      </c>
      <c r="U171" s="19">
        <f t="shared" si="73"/>
        <v>1.3539819535438307</v>
      </c>
      <c r="V171" s="19">
        <f t="shared" si="59"/>
        <v>0</v>
      </c>
      <c r="W171" s="19">
        <f t="shared" si="60"/>
        <v>41.041560498492345</v>
      </c>
      <c r="X171" s="23">
        <f t="shared" si="61"/>
        <v>1156.2675604984925</v>
      </c>
      <c r="Y171" s="22">
        <f>(1/(2*LOG(3.7*$I171/'Calculation Constants'!$B$3*1000)))^2</f>
        <v>9.8211436332891755E-3</v>
      </c>
      <c r="Z171" s="19">
        <f t="shared" si="62"/>
        <v>1.431963236834217</v>
      </c>
      <c r="AA171" s="19">
        <f>IF($H171&gt;0,'Calculation Constants'!$B$9*Hydraulics!$K171^2/2/9.81/MAX($F$4:$F$253)*$H171,"")</f>
        <v>7.8734226558858159E-2</v>
      </c>
      <c r="AB171" s="19">
        <f t="shared" si="81"/>
        <v>1.5106974633930752</v>
      </c>
      <c r="AC171" s="19">
        <f t="shared" si="63"/>
        <v>0</v>
      </c>
      <c r="AD171" s="19">
        <f t="shared" si="74"/>
        <v>37.987895046470612</v>
      </c>
      <c r="AE171" s="23">
        <f t="shared" si="64"/>
        <v>1153.2138950464707</v>
      </c>
      <c r="AF171" s="27">
        <f>(1/(2*LOG(3.7*$I171/'Calculation Constants'!$B$4*1000)))^2</f>
        <v>1.1575055557914658E-2</v>
      </c>
      <c r="AG171" s="19">
        <f t="shared" si="65"/>
        <v>1.6876908272744866</v>
      </c>
      <c r="AH171" s="19">
        <f>IF($H171&gt;0,'Calculation Constants'!$B$9*Hydraulics!$K171^2/2/9.81/MAX($F$4:$F$253)*$H171,"")</f>
        <v>7.8734226558858159E-2</v>
      </c>
      <c r="AI171" s="19">
        <f t="shared" si="75"/>
        <v>1.7664250538333448</v>
      </c>
      <c r="AJ171" s="19">
        <f t="shared" si="66"/>
        <v>0</v>
      </c>
      <c r="AK171" s="19">
        <f t="shared" si="76"/>
        <v>33.022067535237056</v>
      </c>
      <c r="AL171" s="23">
        <f t="shared" si="67"/>
        <v>1148.2480675352372</v>
      </c>
      <c r="AM171" s="22">
        <f>(1/(2*LOG(3.7*($I171-0.008)/'Calculation Constants'!$B$5*1000)))^2</f>
        <v>1.4709705891825043E-2</v>
      </c>
      <c r="AN171" s="19">
        <f t="shared" si="77"/>
        <v>2.1543104841910781</v>
      </c>
      <c r="AO171" s="19">
        <f>IF($H171&gt;0,'Calculation Constants'!$B$9*Hydraulics!$K171^2/2/9.81/MAX($F$4:$F$253)*$H171,"")</f>
        <v>7.8734226558858159E-2</v>
      </c>
      <c r="AP171" s="19">
        <f t="shared" si="78"/>
        <v>2.2330447107499363</v>
      </c>
      <c r="AQ171" s="19">
        <f t="shared" si="68"/>
        <v>0</v>
      </c>
      <c r="AR171" s="19">
        <f t="shared" si="79"/>
        <v>24.046337053302523</v>
      </c>
      <c r="AS171" s="23">
        <f t="shared" si="69"/>
        <v>1139.2723370533026</v>
      </c>
    </row>
    <row r="172" spans="5:45">
      <c r="E172" s="35" t="str">
        <f t="shared" si="55"/>
        <v/>
      </c>
      <c r="F172" s="19">
        <f>'Profile data'!A172</f>
        <v>338</v>
      </c>
      <c r="G172" s="19">
        <f>VLOOKUP(F172,'Profile data'!A172:C431,IF($B$22="Botswana 1",2,3))</f>
        <v>1108.7090000000001</v>
      </c>
      <c r="H172" s="19">
        <f t="shared" si="80"/>
        <v>2</v>
      </c>
      <c r="I172" s="19">
        <v>1.8</v>
      </c>
      <c r="J172" s="36">
        <f>'Flow Rate Calculations'!$B$7</f>
        <v>4.0831050228310497</v>
      </c>
      <c r="K172" s="36">
        <f t="shared" si="70"/>
        <v>1.6045588828318709</v>
      </c>
      <c r="L172" s="37">
        <f>$I172*$K172/'Calculation Constants'!$B$7</f>
        <v>2555934.503625989</v>
      </c>
      <c r="M172" s="37" t="str">
        <f t="shared" si="56"/>
        <v>Greater Dynamic Pressures</v>
      </c>
      <c r="N172" s="23">
        <f t="shared" si="71"/>
        <v>46.204578544948617</v>
      </c>
      <c r="O172" s="55">
        <f t="shared" si="57"/>
        <v>42.994197583077494</v>
      </c>
      <c r="P172" s="64">
        <f>MAX(I172*1000/'Calculation Constants'!$B$14,O172*10*I172*1000/2/('Calculation Constants'!$B$12*1000*'Calculation Constants'!$B$13))</f>
        <v>11.25</v>
      </c>
      <c r="Q172" s="66">
        <f t="shared" si="58"/>
        <v>992548.40161508287</v>
      </c>
      <c r="R172" s="27">
        <f>(1/(2*LOG(3.7*$I172/'Calculation Constants'!$B$2*1000)))^2</f>
        <v>8.7463077071963571E-3</v>
      </c>
      <c r="S172" s="19">
        <f t="shared" si="72"/>
        <v>1.2752477269849725</v>
      </c>
      <c r="T172" s="19">
        <f>IF($H172&gt;0,'Calculation Constants'!$B$9*Hydraulics!$K172^2/2/9.81/MAX($F$4:$F$253)*$H172,"")</f>
        <v>7.8734226558858159E-2</v>
      </c>
      <c r="U172" s="19">
        <f t="shared" si="73"/>
        <v>1.3539819535438307</v>
      </c>
      <c r="V172" s="19">
        <f t="shared" si="59"/>
        <v>0</v>
      </c>
      <c r="W172" s="19">
        <f t="shared" si="60"/>
        <v>46.204578544948617</v>
      </c>
      <c r="X172" s="23">
        <f t="shared" si="61"/>
        <v>1154.9135785449487</v>
      </c>
      <c r="Y172" s="22">
        <f>(1/(2*LOG(3.7*$I172/'Calculation Constants'!$B$3*1000)))^2</f>
        <v>9.8211436332891755E-3</v>
      </c>
      <c r="Z172" s="19">
        <f t="shared" si="62"/>
        <v>1.431963236834217</v>
      </c>
      <c r="AA172" s="19">
        <f>IF($H172&gt;0,'Calculation Constants'!$B$9*Hydraulics!$K172^2/2/9.81/MAX($F$4:$F$253)*$H172,"")</f>
        <v>7.8734226558858159E-2</v>
      </c>
      <c r="AB172" s="19">
        <f t="shared" si="81"/>
        <v>1.5106974633930752</v>
      </c>
      <c r="AC172" s="19">
        <f t="shared" si="63"/>
        <v>0</v>
      </c>
      <c r="AD172" s="19">
        <f t="shared" si="74"/>
        <v>42.994197583077494</v>
      </c>
      <c r="AE172" s="23">
        <f t="shared" si="64"/>
        <v>1151.7031975830776</v>
      </c>
      <c r="AF172" s="27">
        <f>(1/(2*LOG(3.7*$I172/'Calculation Constants'!$B$4*1000)))^2</f>
        <v>1.1575055557914658E-2</v>
      </c>
      <c r="AG172" s="19">
        <f t="shared" si="65"/>
        <v>1.6876908272744866</v>
      </c>
      <c r="AH172" s="19">
        <f>IF($H172&gt;0,'Calculation Constants'!$B$9*Hydraulics!$K172^2/2/9.81/MAX($F$4:$F$253)*$H172,"")</f>
        <v>7.8734226558858159E-2</v>
      </c>
      <c r="AI172" s="19">
        <f t="shared" si="75"/>
        <v>1.7664250538333448</v>
      </c>
      <c r="AJ172" s="19">
        <f t="shared" si="66"/>
        <v>0</v>
      </c>
      <c r="AK172" s="19">
        <f t="shared" si="76"/>
        <v>37.772642481403864</v>
      </c>
      <c r="AL172" s="23">
        <f t="shared" si="67"/>
        <v>1146.4816424814039</v>
      </c>
      <c r="AM172" s="22">
        <f>(1/(2*LOG(3.7*($I172-0.008)/'Calculation Constants'!$B$5*1000)))^2</f>
        <v>1.4709705891825043E-2</v>
      </c>
      <c r="AN172" s="19">
        <f t="shared" si="77"/>
        <v>2.1543104841910781</v>
      </c>
      <c r="AO172" s="19">
        <f>IF($H172&gt;0,'Calculation Constants'!$B$9*Hydraulics!$K172^2/2/9.81/MAX($F$4:$F$253)*$H172,"")</f>
        <v>7.8734226558858159E-2</v>
      </c>
      <c r="AP172" s="19">
        <f t="shared" si="78"/>
        <v>2.2330447107499363</v>
      </c>
      <c r="AQ172" s="19">
        <f t="shared" si="68"/>
        <v>0</v>
      </c>
      <c r="AR172" s="19">
        <f t="shared" si="79"/>
        <v>28.330292342552639</v>
      </c>
      <c r="AS172" s="23">
        <f t="shared" si="69"/>
        <v>1137.0392923425527</v>
      </c>
    </row>
    <row r="173" spans="5:45">
      <c r="E173" s="35" t="str">
        <f t="shared" si="55"/>
        <v/>
      </c>
      <c r="F173" s="19">
        <f>'Profile data'!A173</f>
        <v>340</v>
      </c>
      <c r="G173" s="19">
        <f>VLOOKUP(F173,'Profile data'!A173:C432,IF($B$22="Botswana 1",2,3))</f>
        <v>1102.499</v>
      </c>
      <c r="H173" s="19">
        <f t="shared" si="80"/>
        <v>2</v>
      </c>
      <c r="I173" s="19">
        <v>1.8</v>
      </c>
      <c r="J173" s="36">
        <f>'Flow Rate Calculations'!$B$7</f>
        <v>4.0831050228310497</v>
      </c>
      <c r="K173" s="36">
        <f t="shared" si="70"/>
        <v>1.6045588828318709</v>
      </c>
      <c r="L173" s="37">
        <f>$I173*$K173/'Calculation Constants'!$B$7</f>
        <v>2555934.503625989</v>
      </c>
      <c r="M173" s="37" t="str">
        <f t="shared" si="56"/>
        <v>Greater Dynamic Pressures</v>
      </c>
      <c r="N173" s="23">
        <f t="shared" si="71"/>
        <v>51.060596591404874</v>
      </c>
      <c r="O173" s="55">
        <f t="shared" si="57"/>
        <v>47.693500119684359</v>
      </c>
      <c r="P173" s="64">
        <f>MAX(I173*1000/'Calculation Constants'!$B$14,O173*10*I173*1000/2/('Calculation Constants'!$B$12*1000*'Calculation Constants'!$B$13))</f>
        <v>11.25</v>
      </c>
      <c r="Q173" s="66">
        <f t="shared" si="58"/>
        <v>992548.40161508287</v>
      </c>
      <c r="R173" s="27">
        <f>(1/(2*LOG(3.7*$I173/'Calculation Constants'!$B$2*1000)))^2</f>
        <v>8.7463077071963571E-3</v>
      </c>
      <c r="S173" s="19">
        <f t="shared" si="72"/>
        <v>1.2752477269849725</v>
      </c>
      <c r="T173" s="19">
        <f>IF($H173&gt;0,'Calculation Constants'!$B$9*Hydraulics!$K173^2/2/9.81/MAX($F$4:$F$253)*$H173,"")</f>
        <v>7.8734226558858159E-2</v>
      </c>
      <c r="U173" s="19">
        <f t="shared" si="73"/>
        <v>1.3539819535438307</v>
      </c>
      <c r="V173" s="19">
        <f t="shared" si="59"/>
        <v>0</v>
      </c>
      <c r="W173" s="19">
        <f t="shared" si="60"/>
        <v>51.060596591404874</v>
      </c>
      <c r="X173" s="23">
        <f t="shared" si="61"/>
        <v>1153.5595965914049</v>
      </c>
      <c r="Y173" s="22">
        <f>(1/(2*LOG(3.7*$I173/'Calculation Constants'!$B$3*1000)))^2</f>
        <v>9.8211436332891755E-3</v>
      </c>
      <c r="Z173" s="19">
        <f t="shared" si="62"/>
        <v>1.431963236834217</v>
      </c>
      <c r="AA173" s="19">
        <f>IF($H173&gt;0,'Calculation Constants'!$B$9*Hydraulics!$K173^2/2/9.81/MAX($F$4:$F$253)*$H173,"")</f>
        <v>7.8734226558858159E-2</v>
      </c>
      <c r="AB173" s="19">
        <f t="shared" si="81"/>
        <v>1.5106974633930752</v>
      </c>
      <c r="AC173" s="19">
        <f t="shared" si="63"/>
        <v>0</v>
      </c>
      <c r="AD173" s="19">
        <f t="shared" si="74"/>
        <v>47.693500119684359</v>
      </c>
      <c r="AE173" s="23">
        <f t="shared" si="64"/>
        <v>1150.1925001196844</v>
      </c>
      <c r="AF173" s="27">
        <f>(1/(2*LOG(3.7*$I173/'Calculation Constants'!$B$4*1000)))^2</f>
        <v>1.1575055557914658E-2</v>
      </c>
      <c r="AG173" s="19">
        <f t="shared" si="65"/>
        <v>1.6876908272744866</v>
      </c>
      <c r="AH173" s="19">
        <f>IF($H173&gt;0,'Calculation Constants'!$B$9*Hydraulics!$K173^2/2/9.81/MAX($F$4:$F$253)*$H173,"")</f>
        <v>7.8734226558858159E-2</v>
      </c>
      <c r="AI173" s="19">
        <f t="shared" si="75"/>
        <v>1.7664250538333448</v>
      </c>
      <c r="AJ173" s="19">
        <f t="shared" si="66"/>
        <v>0</v>
      </c>
      <c r="AK173" s="19">
        <f t="shared" si="76"/>
        <v>42.216217427570655</v>
      </c>
      <c r="AL173" s="23">
        <f t="shared" si="67"/>
        <v>1144.7152174275707</v>
      </c>
      <c r="AM173" s="22">
        <f>(1/(2*LOG(3.7*($I173-0.008)/'Calculation Constants'!$B$5*1000)))^2</f>
        <v>1.4709705891825043E-2</v>
      </c>
      <c r="AN173" s="19">
        <f t="shared" si="77"/>
        <v>2.1543104841910781</v>
      </c>
      <c r="AO173" s="19">
        <f>IF($H173&gt;0,'Calculation Constants'!$B$9*Hydraulics!$K173^2/2/9.81/MAX($F$4:$F$253)*$H173,"")</f>
        <v>7.8734226558858159E-2</v>
      </c>
      <c r="AP173" s="19">
        <f t="shared" si="78"/>
        <v>2.2330447107499363</v>
      </c>
      <c r="AQ173" s="19">
        <f t="shared" si="68"/>
        <v>0</v>
      </c>
      <c r="AR173" s="19">
        <f t="shared" si="79"/>
        <v>32.307247631802738</v>
      </c>
      <c r="AS173" s="23">
        <f t="shared" si="69"/>
        <v>1134.8062476318028</v>
      </c>
    </row>
    <row r="174" spans="5:45">
      <c r="E174" s="35" t="str">
        <f t="shared" si="55"/>
        <v/>
      </c>
      <c r="F174" s="19">
        <f>'Profile data'!A174</f>
        <v>342</v>
      </c>
      <c r="G174" s="19">
        <f>VLOOKUP(F174,'Profile data'!A174:C433,IF($B$22="Botswana 1",2,3))</f>
        <v>1096.3489999999999</v>
      </c>
      <c r="H174" s="19">
        <f t="shared" si="80"/>
        <v>2</v>
      </c>
      <c r="I174" s="19">
        <v>1.8</v>
      </c>
      <c r="J174" s="36">
        <f>'Flow Rate Calculations'!$B$7</f>
        <v>4.0831050228310497</v>
      </c>
      <c r="K174" s="36">
        <f t="shared" si="70"/>
        <v>1.6045588828318709</v>
      </c>
      <c r="L174" s="37">
        <f>$I174*$K174/'Calculation Constants'!$B$7</f>
        <v>2555934.503625989</v>
      </c>
      <c r="M174" s="37" t="str">
        <f t="shared" si="56"/>
        <v>Greater Dynamic Pressures</v>
      </c>
      <c r="N174" s="23">
        <f t="shared" si="71"/>
        <v>55.856614637861185</v>
      </c>
      <c r="O174" s="55">
        <f t="shared" si="57"/>
        <v>52.332802656291278</v>
      </c>
      <c r="P174" s="64">
        <f>MAX(I174*1000/'Calculation Constants'!$B$14,O174*10*I174*1000/2/('Calculation Constants'!$B$12*1000*'Calculation Constants'!$B$13))</f>
        <v>11.25</v>
      </c>
      <c r="Q174" s="66">
        <f t="shared" si="58"/>
        <v>992548.40161508287</v>
      </c>
      <c r="R174" s="27">
        <f>(1/(2*LOG(3.7*$I174/'Calculation Constants'!$B$2*1000)))^2</f>
        <v>8.7463077071963571E-3</v>
      </c>
      <c r="S174" s="19">
        <f t="shared" si="72"/>
        <v>1.2752477269849725</v>
      </c>
      <c r="T174" s="19">
        <f>IF($H174&gt;0,'Calculation Constants'!$B$9*Hydraulics!$K174^2/2/9.81/MAX($F$4:$F$253)*$H174,"")</f>
        <v>7.8734226558858159E-2</v>
      </c>
      <c r="U174" s="19">
        <f t="shared" si="73"/>
        <v>1.3539819535438307</v>
      </c>
      <c r="V174" s="19">
        <f t="shared" si="59"/>
        <v>0</v>
      </c>
      <c r="W174" s="19">
        <f t="shared" si="60"/>
        <v>55.856614637861185</v>
      </c>
      <c r="X174" s="23">
        <f t="shared" si="61"/>
        <v>1152.2056146378611</v>
      </c>
      <c r="Y174" s="22">
        <f>(1/(2*LOG(3.7*$I174/'Calculation Constants'!$B$3*1000)))^2</f>
        <v>9.8211436332891755E-3</v>
      </c>
      <c r="Z174" s="19">
        <f t="shared" si="62"/>
        <v>1.431963236834217</v>
      </c>
      <c r="AA174" s="19">
        <f>IF($H174&gt;0,'Calculation Constants'!$B$9*Hydraulics!$K174^2/2/9.81/MAX($F$4:$F$253)*$H174,"")</f>
        <v>7.8734226558858159E-2</v>
      </c>
      <c r="AB174" s="19">
        <f t="shared" si="81"/>
        <v>1.5106974633930752</v>
      </c>
      <c r="AC174" s="19">
        <f t="shared" si="63"/>
        <v>0</v>
      </c>
      <c r="AD174" s="19">
        <f t="shared" si="74"/>
        <v>52.332802656291278</v>
      </c>
      <c r="AE174" s="23">
        <f t="shared" si="64"/>
        <v>1148.6818026562912</v>
      </c>
      <c r="AF174" s="27">
        <f>(1/(2*LOG(3.7*$I174/'Calculation Constants'!$B$4*1000)))^2</f>
        <v>1.1575055557914658E-2</v>
      </c>
      <c r="AG174" s="19">
        <f t="shared" si="65"/>
        <v>1.6876908272744866</v>
      </c>
      <c r="AH174" s="19">
        <f>IF($H174&gt;0,'Calculation Constants'!$B$9*Hydraulics!$K174^2/2/9.81/MAX($F$4:$F$253)*$H174,"")</f>
        <v>7.8734226558858159E-2</v>
      </c>
      <c r="AI174" s="19">
        <f t="shared" si="75"/>
        <v>1.7664250538333448</v>
      </c>
      <c r="AJ174" s="19">
        <f t="shared" si="66"/>
        <v>0</v>
      </c>
      <c r="AK174" s="19">
        <f t="shared" si="76"/>
        <v>46.5997923737375</v>
      </c>
      <c r="AL174" s="23">
        <f t="shared" si="67"/>
        <v>1142.9487923737374</v>
      </c>
      <c r="AM174" s="22">
        <f>(1/(2*LOG(3.7*($I174-0.008)/'Calculation Constants'!$B$5*1000)))^2</f>
        <v>1.4709705891825043E-2</v>
      </c>
      <c r="AN174" s="19">
        <f t="shared" si="77"/>
        <v>2.1543104841910781</v>
      </c>
      <c r="AO174" s="19">
        <f>IF($H174&gt;0,'Calculation Constants'!$B$9*Hydraulics!$K174^2/2/9.81/MAX($F$4:$F$253)*$H174,"")</f>
        <v>7.8734226558858159E-2</v>
      </c>
      <c r="AP174" s="19">
        <f t="shared" si="78"/>
        <v>2.2330447107499363</v>
      </c>
      <c r="AQ174" s="19">
        <f t="shared" si="68"/>
        <v>0</v>
      </c>
      <c r="AR174" s="19">
        <f t="shared" si="79"/>
        <v>36.224202921052893</v>
      </c>
      <c r="AS174" s="23">
        <f t="shared" si="69"/>
        <v>1132.5732029210528</v>
      </c>
    </row>
    <row r="175" spans="5:45">
      <c r="E175" s="35" t="str">
        <f t="shared" si="55"/>
        <v/>
      </c>
      <c r="F175" s="19">
        <f>'Profile data'!A175</f>
        <v>344</v>
      </c>
      <c r="G175" s="19">
        <f>VLOOKUP(F175,'Profile data'!A175:C434,IF($B$22="Botswana 1",2,3))</f>
        <v>1090.3900000000001</v>
      </c>
      <c r="H175" s="19">
        <f t="shared" si="80"/>
        <v>2</v>
      </c>
      <c r="I175" s="19">
        <v>1.8</v>
      </c>
      <c r="J175" s="36">
        <f>'Flow Rate Calculations'!$B$7</f>
        <v>4.0831050228310497</v>
      </c>
      <c r="K175" s="36">
        <f t="shared" si="70"/>
        <v>1.6045588828318709</v>
      </c>
      <c r="L175" s="37">
        <f>$I175*$K175/'Calculation Constants'!$B$7</f>
        <v>2555934.503625989</v>
      </c>
      <c r="M175" s="37" t="str">
        <f t="shared" si="56"/>
        <v>Greater Dynamic Pressures</v>
      </c>
      <c r="N175" s="23">
        <f t="shared" si="71"/>
        <v>60.461632684317237</v>
      </c>
      <c r="O175" s="55">
        <f t="shared" si="57"/>
        <v>56.78110519289794</v>
      </c>
      <c r="P175" s="64">
        <f>MAX(I175*1000/'Calculation Constants'!$B$14,O175*10*I175*1000/2/('Calculation Constants'!$B$12*1000*'Calculation Constants'!$B$13))</f>
        <v>11.25</v>
      </c>
      <c r="Q175" s="66">
        <f t="shared" si="58"/>
        <v>992548.40161508287</v>
      </c>
      <c r="R175" s="27">
        <f>(1/(2*LOG(3.7*$I175/'Calculation Constants'!$B$2*1000)))^2</f>
        <v>8.7463077071963571E-3</v>
      </c>
      <c r="S175" s="19">
        <f t="shared" si="72"/>
        <v>1.2752477269849725</v>
      </c>
      <c r="T175" s="19">
        <f>IF($H175&gt;0,'Calculation Constants'!$B$9*Hydraulics!$K175^2/2/9.81/MAX($F$4:$F$253)*$H175,"")</f>
        <v>7.8734226558858159E-2</v>
      </c>
      <c r="U175" s="19">
        <f t="shared" si="73"/>
        <v>1.3539819535438307</v>
      </c>
      <c r="V175" s="19">
        <f t="shared" si="59"/>
        <v>0</v>
      </c>
      <c r="W175" s="19">
        <f t="shared" si="60"/>
        <v>60.461632684317237</v>
      </c>
      <c r="X175" s="23">
        <f t="shared" si="61"/>
        <v>1150.8516326843173</v>
      </c>
      <c r="Y175" s="22">
        <f>(1/(2*LOG(3.7*$I175/'Calculation Constants'!$B$3*1000)))^2</f>
        <v>9.8211436332891755E-3</v>
      </c>
      <c r="Z175" s="19">
        <f t="shared" si="62"/>
        <v>1.431963236834217</v>
      </c>
      <c r="AA175" s="19">
        <f>IF($H175&gt;0,'Calculation Constants'!$B$9*Hydraulics!$K175^2/2/9.81/MAX($F$4:$F$253)*$H175,"")</f>
        <v>7.8734226558858159E-2</v>
      </c>
      <c r="AB175" s="19">
        <f t="shared" si="81"/>
        <v>1.5106974633930752</v>
      </c>
      <c r="AC175" s="19">
        <f t="shared" si="63"/>
        <v>0</v>
      </c>
      <c r="AD175" s="19">
        <f t="shared" si="74"/>
        <v>56.78110519289794</v>
      </c>
      <c r="AE175" s="23">
        <f t="shared" si="64"/>
        <v>1147.171105192898</v>
      </c>
      <c r="AF175" s="27">
        <f>(1/(2*LOG(3.7*$I175/'Calculation Constants'!$B$4*1000)))^2</f>
        <v>1.1575055557914658E-2</v>
      </c>
      <c r="AG175" s="19">
        <f t="shared" si="65"/>
        <v>1.6876908272744866</v>
      </c>
      <c r="AH175" s="19">
        <f>IF($H175&gt;0,'Calculation Constants'!$B$9*Hydraulics!$K175^2/2/9.81/MAX($F$4:$F$253)*$H175,"")</f>
        <v>7.8734226558858159E-2</v>
      </c>
      <c r="AI175" s="19">
        <f t="shared" si="75"/>
        <v>1.7664250538333448</v>
      </c>
      <c r="AJ175" s="19">
        <f t="shared" si="66"/>
        <v>0</v>
      </c>
      <c r="AK175" s="19">
        <f t="shared" si="76"/>
        <v>50.792367319904088</v>
      </c>
      <c r="AL175" s="23">
        <f t="shared" si="67"/>
        <v>1141.1823673199042</v>
      </c>
      <c r="AM175" s="22">
        <f>(1/(2*LOG(3.7*($I175-0.008)/'Calculation Constants'!$B$5*1000)))^2</f>
        <v>1.4709705891825043E-2</v>
      </c>
      <c r="AN175" s="19">
        <f t="shared" si="77"/>
        <v>2.1543104841910781</v>
      </c>
      <c r="AO175" s="19">
        <f>IF($H175&gt;0,'Calculation Constants'!$B$9*Hydraulics!$K175^2/2/9.81/MAX($F$4:$F$253)*$H175,"")</f>
        <v>7.8734226558858159E-2</v>
      </c>
      <c r="AP175" s="19">
        <f t="shared" si="78"/>
        <v>2.2330447107499363</v>
      </c>
      <c r="AQ175" s="19">
        <f t="shared" si="68"/>
        <v>0</v>
      </c>
      <c r="AR175" s="19">
        <f t="shared" si="79"/>
        <v>39.950158210302789</v>
      </c>
      <c r="AS175" s="23">
        <f t="shared" si="69"/>
        <v>1130.3401582103029</v>
      </c>
    </row>
    <row r="176" spans="5:45">
      <c r="E176" s="35" t="str">
        <f t="shared" si="55"/>
        <v/>
      </c>
      <c r="F176" s="19">
        <f>'Profile data'!A176</f>
        <v>346</v>
      </c>
      <c r="G176" s="19">
        <f>VLOOKUP(F176,'Profile data'!A176:C435,IF($B$22="Botswana 1",2,3))</f>
        <v>1087.7650000000001</v>
      </c>
      <c r="H176" s="19">
        <f t="shared" si="80"/>
        <v>2</v>
      </c>
      <c r="I176" s="19">
        <v>1.8</v>
      </c>
      <c r="J176" s="36">
        <f>'Flow Rate Calculations'!$B$7</f>
        <v>4.0831050228310497</v>
      </c>
      <c r="K176" s="36">
        <f t="shared" si="70"/>
        <v>1.6045588828318709</v>
      </c>
      <c r="L176" s="37">
        <f>$I176*$K176/'Calculation Constants'!$B$7</f>
        <v>2555934.503625989</v>
      </c>
      <c r="M176" s="37" t="str">
        <f t="shared" si="56"/>
        <v>Greater Dynamic Pressures</v>
      </c>
      <c r="N176" s="23">
        <f t="shared" si="71"/>
        <v>61.732650730773457</v>
      </c>
      <c r="O176" s="55">
        <f t="shared" si="57"/>
        <v>57.895407729504768</v>
      </c>
      <c r="P176" s="64">
        <f>MAX(I176*1000/'Calculation Constants'!$B$14,O176*10*I176*1000/2/('Calculation Constants'!$B$12*1000*'Calculation Constants'!$B$13))</f>
        <v>11.25</v>
      </c>
      <c r="Q176" s="66">
        <f t="shared" si="58"/>
        <v>992548.40161508287</v>
      </c>
      <c r="R176" s="27">
        <f>(1/(2*LOG(3.7*$I176/'Calculation Constants'!$B$2*1000)))^2</f>
        <v>8.7463077071963571E-3</v>
      </c>
      <c r="S176" s="19">
        <f t="shared" si="72"/>
        <v>1.2752477269849725</v>
      </c>
      <c r="T176" s="19">
        <f>IF($H176&gt;0,'Calculation Constants'!$B$9*Hydraulics!$K176^2/2/9.81/MAX($F$4:$F$253)*$H176,"")</f>
        <v>7.8734226558858159E-2</v>
      </c>
      <c r="U176" s="19">
        <f t="shared" si="73"/>
        <v>1.3539819535438307</v>
      </c>
      <c r="V176" s="19">
        <f t="shared" si="59"/>
        <v>0</v>
      </c>
      <c r="W176" s="19">
        <f t="shared" si="60"/>
        <v>61.732650730773457</v>
      </c>
      <c r="X176" s="23">
        <f t="shared" si="61"/>
        <v>1149.4976507307736</v>
      </c>
      <c r="Y176" s="22">
        <f>(1/(2*LOG(3.7*$I176/'Calculation Constants'!$B$3*1000)))^2</f>
        <v>9.8211436332891755E-3</v>
      </c>
      <c r="Z176" s="19">
        <f t="shared" si="62"/>
        <v>1.431963236834217</v>
      </c>
      <c r="AA176" s="19">
        <f>IF($H176&gt;0,'Calculation Constants'!$B$9*Hydraulics!$K176^2/2/9.81/MAX($F$4:$F$253)*$H176,"")</f>
        <v>7.8734226558858159E-2</v>
      </c>
      <c r="AB176" s="19">
        <f t="shared" si="81"/>
        <v>1.5106974633930752</v>
      </c>
      <c r="AC176" s="19">
        <f t="shared" si="63"/>
        <v>0</v>
      </c>
      <c r="AD176" s="19">
        <f t="shared" si="74"/>
        <v>57.895407729504768</v>
      </c>
      <c r="AE176" s="23">
        <f t="shared" si="64"/>
        <v>1145.6604077295049</v>
      </c>
      <c r="AF176" s="27">
        <f>(1/(2*LOG(3.7*$I176/'Calculation Constants'!$B$4*1000)))^2</f>
        <v>1.1575055557914658E-2</v>
      </c>
      <c r="AG176" s="19">
        <f t="shared" si="65"/>
        <v>1.6876908272744866</v>
      </c>
      <c r="AH176" s="19">
        <f>IF($H176&gt;0,'Calculation Constants'!$B$9*Hydraulics!$K176^2/2/9.81/MAX($F$4:$F$253)*$H176,"")</f>
        <v>7.8734226558858159E-2</v>
      </c>
      <c r="AI176" s="19">
        <f t="shared" si="75"/>
        <v>1.7664250538333448</v>
      </c>
      <c r="AJ176" s="19">
        <f t="shared" si="66"/>
        <v>0</v>
      </c>
      <c r="AK176" s="19">
        <f t="shared" si="76"/>
        <v>51.650942266070842</v>
      </c>
      <c r="AL176" s="23">
        <f t="shared" si="67"/>
        <v>1139.4159422660709</v>
      </c>
      <c r="AM176" s="22">
        <f>(1/(2*LOG(3.7*($I176-0.008)/'Calculation Constants'!$B$5*1000)))^2</f>
        <v>1.4709705891825043E-2</v>
      </c>
      <c r="AN176" s="19">
        <f t="shared" si="77"/>
        <v>2.1543104841910781</v>
      </c>
      <c r="AO176" s="19">
        <f>IF($H176&gt;0,'Calculation Constants'!$B$9*Hydraulics!$K176^2/2/9.81/MAX($F$4:$F$253)*$H176,"")</f>
        <v>7.8734226558858159E-2</v>
      </c>
      <c r="AP176" s="19">
        <f t="shared" si="78"/>
        <v>2.2330447107499363</v>
      </c>
      <c r="AQ176" s="19">
        <f t="shared" si="68"/>
        <v>0</v>
      </c>
      <c r="AR176" s="19">
        <f t="shared" si="79"/>
        <v>40.342113499552852</v>
      </c>
      <c r="AS176" s="23">
        <f t="shared" si="69"/>
        <v>1128.107113499553</v>
      </c>
    </row>
    <row r="177" spans="5:45">
      <c r="E177" s="35" t="str">
        <f t="shared" si="55"/>
        <v/>
      </c>
      <c r="F177" s="19">
        <f>'Profile data'!A177</f>
        <v>348</v>
      </c>
      <c r="G177" s="19">
        <f>VLOOKUP(F177,'Profile data'!A177:C436,IF($B$22="Botswana 1",2,3))</f>
        <v>1084.6610000000001</v>
      </c>
      <c r="H177" s="19">
        <f t="shared" si="80"/>
        <v>2</v>
      </c>
      <c r="I177" s="19">
        <v>1.8</v>
      </c>
      <c r="J177" s="36">
        <f>'Flow Rate Calculations'!$B$7</f>
        <v>4.0831050228310497</v>
      </c>
      <c r="K177" s="36">
        <f t="shared" si="70"/>
        <v>1.6045588828318709</v>
      </c>
      <c r="L177" s="37">
        <f>$I177*$K177/'Calculation Constants'!$B$7</f>
        <v>2555934.503625989</v>
      </c>
      <c r="M177" s="37" t="str">
        <f t="shared" si="56"/>
        <v>Greater Dynamic Pressures</v>
      </c>
      <c r="N177" s="23">
        <f t="shared" si="71"/>
        <v>63.482668777229719</v>
      </c>
      <c r="O177" s="55">
        <f t="shared" si="57"/>
        <v>59.488710266111639</v>
      </c>
      <c r="P177" s="64">
        <f>MAX(I177*1000/'Calculation Constants'!$B$14,O177*10*I177*1000/2/('Calculation Constants'!$B$12*1000*'Calculation Constants'!$B$13))</f>
        <v>11.25</v>
      </c>
      <c r="Q177" s="66">
        <f t="shared" si="58"/>
        <v>992548.40161508287</v>
      </c>
      <c r="R177" s="27">
        <f>(1/(2*LOG(3.7*$I177/'Calculation Constants'!$B$2*1000)))^2</f>
        <v>8.7463077071963571E-3</v>
      </c>
      <c r="S177" s="19">
        <f t="shared" si="72"/>
        <v>1.2752477269849725</v>
      </c>
      <c r="T177" s="19">
        <f>IF($H177&gt;0,'Calculation Constants'!$B$9*Hydraulics!$K177^2/2/9.81/MAX($F$4:$F$253)*$H177,"")</f>
        <v>7.8734226558858159E-2</v>
      </c>
      <c r="U177" s="19">
        <f t="shared" si="73"/>
        <v>1.3539819535438307</v>
      </c>
      <c r="V177" s="19">
        <f t="shared" si="59"/>
        <v>0</v>
      </c>
      <c r="W177" s="19">
        <f t="shared" si="60"/>
        <v>63.482668777229719</v>
      </c>
      <c r="X177" s="23">
        <f t="shared" si="61"/>
        <v>1148.1436687772298</v>
      </c>
      <c r="Y177" s="22">
        <f>(1/(2*LOG(3.7*$I177/'Calculation Constants'!$B$3*1000)))^2</f>
        <v>9.8211436332891755E-3</v>
      </c>
      <c r="Z177" s="19">
        <f t="shared" si="62"/>
        <v>1.431963236834217</v>
      </c>
      <c r="AA177" s="19">
        <f>IF($H177&gt;0,'Calculation Constants'!$B$9*Hydraulics!$K177^2/2/9.81/MAX($F$4:$F$253)*$H177,"")</f>
        <v>7.8734226558858159E-2</v>
      </c>
      <c r="AB177" s="19">
        <f t="shared" si="81"/>
        <v>1.5106974633930752</v>
      </c>
      <c r="AC177" s="19">
        <f t="shared" si="63"/>
        <v>0</v>
      </c>
      <c r="AD177" s="19">
        <f t="shared" si="74"/>
        <v>59.488710266111639</v>
      </c>
      <c r="AE177" s="23">
        <f t="shared" si="64"/>
        <v>1144.1497102661117</v>
      </c>
      <c r="AF177" s="27">
        <f>(1/(2*LOG(3.7*$I177/'Calculation Constants'!$B$4*1000)))^2</f>
        <v>1.1575055557914658E-2</v>
      </c>
      <c r="AG177" s="19">
        <f t="shared" si="65"/>
        <v>1.6876908272744866</v>
      </c>
      <c r="AH177" s="19">
        <f>IF($H177&gt;0,'Calculation Constants'!$B$9*Hydraulics!$K177^2/2/9.81/MAX($F$4:$F$253)*$H177,"")</f>
        <v>7.8734226558858159E-2</v>
      </c>
      <c r="AI177" s="19">
        <f t="shared" si="75"/>
        <v>1.7664250538333448</v>
      </c>
      <c r="AJ177" s="19">
        <f t="shared" si="66"/>
        <v>0</v>
      </c>
      <c r="AK177" s="19">
        <f t="shared" si="76"/>
        <v>52.988517212237639</v>
      </c>
      <c r="AL177" s="23">
        <f t="shared" si="67"/>
        <v>1137.6495172122377</v>
      </c>
      <c r="AM177" s="22">
        <f>(1/(2*LOG(3.7*($I177-0.008)/'Calculation Constants'!$B$5*1000)))^2</f>
        <v>1.4709705891825043E-2</v>
      </c>
      <c r="AN177" s="19">
        <f t="shared" si="77"/>
        <v>2.1543104841910781</v>
      </c>
      <c r="AO177" s="19">
        <f>IF($H177&gt;0,'Calculation Constants'!$B$9*Hydraulics!$K177^2/2/9.81/MAX($F$4:$F$253)*$H177,"")</f>
        <v>7.8734226558858159E-2</v>
      </c>
      <c r="AP177" s="19">
        <f t="shared" si="78"/>
        <v>2.2330447107499363</v>
      </c>
      <c r="AQ177" s="19">
        <f t="shared" si="68"/>
        <v>0</v>
      </c>
      <c r="AR177" s="19">
        <f t="shared" si="79"/>
        <v>41.213068788802957</v>
      </c>
      <c r="AS177" s="23">
        <f t="shared" si="69"/>
        <v>1125.874068788803</v>
      </c>
    </row>
    <row r="178" spans="5:45">
      <c r="E178" s="35" t="str">
        <f t="shared" si="55"/>
        <v/>
      </c>
      <c r="F178" s="19">
        <f>'Profile data'!A178</f>
        <v>350</v>
      </c>
      <c r="G178" s="19">
        <f>VLOOKUP(F178,'Profile data'!A178:C437,IF($B$22="Botswana 1",2,3))</f>
        <v>1081.662</v>
      </c>
      <c r="H178" s="19">
        <f t="shared" si="80"/>
        <v>2</v>
      </c>
      <c r="I178" s="19">
        <v>1.8</v>
      </c>
      <c r="J178" s="36">
        <f>'Flow Rate Calculations'!$B$7</f>
        <v>4.0831050228310497</v>
      </c>
      <c r="K178" s="36">
        <f t="shared" si="70"/>
        <v>1.6045588828318709</v>
      </c>
      <c r="L178" s="37">
        <f>$I178*$K178/'Calculation Constants'!$B$7</f>
        <v>2555934.503625989</v>
      </c>
      <c r="M178" s="37" t="str">
        <f t="shared" si="56"/>
        <v>Greater Dynamic Pressures</v>
      </c>
      <c r="N178" s="23">
        <f t="shared" si="71"/>
        <v>65.127686823685963</v>
      </c>
      <c r="O178" s="55">
        <f t="shared" si="57"/>
        <v>60.977012802718491</v>
      </c>
      <c r="P178" s="64">
        <f>MAX(I178*1000/'Calculation Constants'!$B$14,O178*10*I178*1000/2/('Calculation Constants'!$B$12*1000*'Calculation Constants'!$B$13))</f>
        <v>11.25</v>
      </c>
      <c r="Q178" s="66">
        <f t="shared" si="58"/>
        <v>992548.40161508287</v>
      </c>
      <c r="R178" s="27">
        <f>(1/(2*LOG(3.7*$I178/'Calculation Constants'!$B$2*1000)))^2</f>
        <v>8.7463077071963571E-3</v>
      </c>
      <c r="S178" s="19">
        <f t="shared" si="72"/>
        <v>1.2752477269849725</v>
      </c>
      <c r="T178" s="19">
        <f>IF($H178&gt;0,'Calculation Constants'!$B$9*Hydraulics!$K178^2/2/9.81/MAX($F$4:$F$253)*$H178,"")</f>
        <v>7.8734226558858159E-2</v>
      </c>
      <c r="U178" s="19">
        <f t="shared" si="73"/>
        <v>1.3539819535438307</v>
      </c>
      <c r="V178" s="19">
        <f t="shared" si="59"/>
        <v>0</v>
      </c>
      <c r="W178" s="19">
        <f t="shared" si="60"/>
        <v>65.127686823685963</v>
      </c>
      <c r="X178" s="23">
        <f t="shared" si="61"/>
        <v>1146.789686823686</v>
      </c>
      <c r="Y178" s="22">
        <f>(1/(2*LOG(3.7*$I178/'Calculation Constants'!$B$3*1000)))^2</f>
        <v>9.8211436332891755E-3</v>
      </c>
      <c r="Z178" s="19">
        <f t="shared" si="62"/>
        <v>1.431963236834217</v>
      </c>
      <c r="AA178" s="19">
        <f>IF($H178&gt;0,'Calculation Constants'!$B$9*Hydraulics!$K178^2/2/9.81/MAX($F$4:$F$253)*$H178,"")</f>
        <v>7.8734226558858159E-2</v>
      </c>
      <c r="AB178" s="19">
        <f t="shared" si="81"/>
        <v>1.5106974633930752</v>
      </c>
      <c r="AC178" s="19">
        <f t="shared" si="63"/>
        <v>0</v>
      </c>
      <c r="AD178" s="19">
        <f t="shared" si="74"/>
        <v>60.977012802718491</v>
      </c>
      <c r="AE178" s="23">
        <f t="shared" si="64"/>
        <v>1142.6390128027185</v>
      </c>
      <c r="AF178" s="27">
        <f>(1/(2*LOG(3.7*$I178/'Calculation Constants'!$B$4*1000)))^2</f>
        <v>1.1575055557914658E-2</v>
      </c>
      <c r="AG178" s="19">
        <f t="shared" si="65"/>
        <v>1.6876908272744866</v>
      </c>
      <c r="AH178" s="19">
        <f>IF($H178&gt;0,'Calculation Constants'!$B$9*Hydraulics!$K178^2/2/9.81/MAX($F$4:$F$253)*$H178,"")</f>
        <v>7.8734226558858159E-2</v>
      </c>
      <c r="AI178" s="19">
        <f t="shared" si="75"/>
        <v>1.7664250538333448</v>
      </c>
      <c r="AJ178" s="19">
        <f t="shared" si="66"/>
        <v>0</v>
      </c>
      <c r="AK178" s="19">
        <f t="shared" si="76"/>
        <v>54.221092158404417</v>
      </c>
      <c r="AL178" s="23">
        <f t="shared" si="67"/>
        <v>1135.8830921584045</v>
      </c>
      <c r="AM178" s="22">
        <f>(1/(2*LOG(3.7*($I178-0.008)/'Calculation Constants'!$B$5*1000)))^2</f>
        <v>1.4709705891825043E-2</v>
      </c>
      <c r="AN178" s="19">
        <f t="shared" si="77"/>
        <v>2.1543104841910781</v>
      </c>
      <c r="AO178" s="19">
        <f>IF($H178&gt;0,'Calculation Constants'!$B$9*Hydraulics!$K178^2/2/9.81/MAX($F$4:$F$253)*$H178,"")</f>
        <v>7.8734226558858159E-2</v>
      </c>
      <c r="AP178" s="19">
        <f t="shared" si="78"/>
        <v>2.2330447107499363</v>
      </c>
      <c r="AQ178" s="19">
        <f t="shared" si="68"/>
        <v>0</v>
      </c>
      <c r="AR178" s="19">
        <f t="shared" si="79"/>
        <v>41.979024078053044</v>
      </c>
      <c r="AS178" s="23">
        <f t="shared" si="69"/>
        <v>1123.6410240780531</v>
      </c>
    </row>
    <row r="179" spans="5:45">
      <c r="E179" s="35" t="str">
        <f t="shared" si="55"/>
        <v/>
      </c>
      <c r="F179" s="19">
        <f>'Profile data'!A179</f>
        <v>352</v>
      </c>
      <c r="G179" s="19">
        <f>VLOOKUP(F179,'Profile data'!A179:C438,IF($B$22="Botswana 1",2,3))</f>
        <v>1076.8720000000001</v>
      </c>
      <c r="H179" s="19">
        <f t="shared" si="80"/>
        <v>2</v>
      </c>
      <c r="I179" s="19">
        <v>1.8</v>
      </c>
      <c r="J179" s="36">
        <f>'Flow Rate Calculations'!$B$7</f>
        <v>4.0831050228310497</v>
      </c>
      <c r="K179" s="36">
        <f t="shared" si="70"/>
        <v>1.6045588828318709</v>
      </c>
      <c r="L179" s="37">
        <f>$I179*$K179/'Calculation Constants'!$B$7</f>
        <v>2555934.503625989</v>
      </c>
      <c r="M179" s="37" t="str">
        <f t="shared" si="56"/>
        <v>Greater Dynamic Pressures</v>
      </c>
      <c r="N179" s="23">
        <f t="shared" si="71"/>
        <v>68.563704870142146</v>
      </c>
      <c r="O179" s="55">
        <f t="shared" si="57"/>
        <v>64.256315339325283</v>
      </c>
      <c r="P179" s="64">
        <f>MAX(I179*1000/'Calculation Constants'!$B$14,O179*10*I179*1000/2/('Calculation Constants'!$B$12*1000*'Calculation Constants'!$B$13))</f>
        <v>11.25</v>
      </c>
      <c r="Q179" s="66">
        <f t="shared" si="58"/>
        <v>992548.40161508287</v>
      </c>
      <c r="R179" s="27">
        <f>(1/(2*LOG(3.7*$I179/'Calculation Constants'!$B$2*1000)))^2</f>
        <v>8.7463077071963571E-3</v>
      </c>
      <c r="S179" s="19">
        <f t="shared" si="72"/>
        <v>1.2752477269849725</v>
      </c>
      <c r="T179" s="19">
        <f>IF($H179&gt;0,'Calculation Constants'!$B$9*Hydraulics!$K179^2/2/9.81/MAX($F$4:$F$253)*$H179,"")</f>
        <v>7.8734226558858159E-2</v>
      </c>
      <c r="U179" s="19">
        <f t="shared" si="73"/>
        <v>1.3539819535438307</v>
      </c>
      <c r="V179" s="19">
        <f t="shared" si="59"/>
        <v>0</v>
      </c>
      <c r="W179" s="19">
        <f t="shared" si="60"/>
        <v>68.563704870142146</v>
      </c>
      <c r="X179" s="23">
        <f t="shared" si="61"/>
        <v>1145.4357048701422</v>
      </c>
      <c r="Y179" s="22">
        <f>(1/(2*LOG(3.7*$I179/'Calculation Constants'!$B$3*1000)))^2</f>
        <v>9.8211436332891755E-3</v>
      </c>
      <c r="Z179" s="19">
        <f t="shared" si="62"/>
        <v>1.431963236834217</v>
      </c>
      <c r="AA179" s="19">
        <f>IF($H179&gt;0,'Calculation Constants'!$B$9*Hydraulics!$K179^2/2/9.81/MAX($F$4:$F$253)*$H179,"")</f>
        <v>7.8734226558858159E-2</v>
      </c>
      <c r="AB179" s="19">
        <f t="shared" si="81"/>
        <v>1.5106974633930752</v>
      </c>
      <c r="AC179" s="19">
        <f t="shared" si="63"/>
        <v>0</v>
      </c>
      <c r="AD179" s="19">
        <f t="shared" si="74"/>
        <v>64.256315339325283</v>
      </c>
      <c r="AE179" s="23">
        <f t="shared" si="64"/>
        <v>1141.1283153393254</v>
      </c>
      <c r="AF179" s="27">
        <f>(1/(2*LOG(3.7*$I179/'Calculation Constants'!$B$4*1000)))^2</f>
        <v>1.1575055557914658E-2</v>
      </c>
      <c r="AG179" s="19">
        <f t="shared" si="65"/>
        <v>1.6876908272744866</v>
      </c>
      <c r="AH179" s="19">
        <f>IF($H179&gt;0,'Calculation Constants'!$B$9*Hydraulics!$K179^2/2/9.81/MAX($F$4:$F$253)*$H179,"")</f>
        <v>7.8734226558858159E-2</v>
      </c>
      <c r="AI179" s="19">
        <f t="shared" si="75"/>
        <v>1.7664250538333448</v>
      </c>
      <c r="AJ179" s="19">
        <f t="shared" si="66"/>
        <v>0</v>
      </c>
      <c r="AK179" s="19">
        <f t="shared" si="76"/>
        <v>57.244667104571135</v>
      </c>
      <c r="AL179" s="23">
        <f t="shared" si="67"/>
        <v>1134.1166671045712</v>
      </c>
      <c r="AM179" s="22">
        <f>(1/(2*LOG(3.7*($I179-0.008)/'Calculation Constants'!$B$5*1000)))^2</f>
        <v>1.4709705891825043E-2</v>
      </c>
      <c r="AN179" s="19">
        <f t="shared" si="77"/>
        <v>2.1543104841910781</v>
      </c>
      <c r="AO179" s="19">
        <f>IF($H179&gt;0,'Calculation Constants'!$B$9*Hydraulics!$K179^2/2/9.81/MAX($F$4:$F$253)*$H179,"")</f>
        <v>7.8734226558858159E-2</v>
      </c>
      <c r="AP179" s="19">
        <f t="shared" si="78"/>
        <v>2.2330447107499363</v>
      </c>
      <c r="AQ179" s="19">
        <f t="shared" si="68"/>
        <v>0</v>
      </c>
      <c r="AR179" s="19">
        <f t="shared" si="79"/>
        <v>44.535979367303071</v>
      </c>
      <c r="AS179" s="23">
        <f t="shared" si="69"/>
        <v>1121.4079793673031</v>
      </c>
    </row>
    <row r="180" spans="5:45">
      <c r="E180" s="35" t="str">
        <f t="shared" si="55"/>
        <v/>
      </c>
      <c r="F180" s="19">
        <f>'Profile data'!A180</f>
        <v>354</v>
      </c>
      <c r="G180" s="19">
        <f>VLOOKUP(F180,'Profile data'!A180:C439,IF($B$22="Botswana 1",2,3))</f>
        <v>1070.8979999999999</v>
      </c>
      <c r="H180" s="19">
        <f t="shared" si="80"/>
        <v>2</v>
      </c>
      <c r="I180" s="19">
        <v>1.8</v>
      </c>
      <c r="J180" s="36">
        <f>'Flow Rate Calculations'!$B$7</f>
        <v>4.0831050228310497</v>
      </c>
      <c r="K180" s="36">
        <f t="shared" si="70"/>
        <v>1.6045588828318709</v>
      </c>
      <c r="L180" s="37">
        <f>$I180*$K180/'Calculation Constants'!$B$7</f>
        <v>2555934.503625989</v>
      </c>
      <c r="M180" s="37" t="str">
        <f t="shared" si="56"/>
        <v>Greater Dynamic Pressures</v>
      </c>
      <c r="N180" s="23">
        <f t="shared" si="71"/>
        <v>73.183722916598526</v>
      </c>
      <c r="O180" s="55">
        <f t="shared" si="57"/>
        <v>68.719617875932272</v>
      </c>
      <c r="P180" s="64">
        <f>MAX(I180*1000/'Calculation Constants'!$B$14,O180*10*I180*1000/2/('Calculation Constants'!$B$12*1000*'Calculation Constants'!$B$13))</f>
        <v>11.25</v>
      </c>
      <c r="Q180" s="66">
        <f t="shared" si="58"/>
        <v>992548.40161508287</v>
      </c>
      <c r="R180" s="27">
        <f>(1/(2*LOG(3.7*$I180/'Calculation Constants'!$B$2*1000)))^2</f>
        <v>8.7463077071963571E-3</v>
      </c>
      <c r="S180" s="19">
        <f t="shared" si="72"/>
        <v>1.2752477269849725</v>
      </c>
      <c r="T180" s="19">
        <f>IF($H180&gt;0,'Calculation Constants'!$B$9*Hydraulics!$K180^2/2/9.81/MAX($F$4:$F$253)*$H180,"")</f>
        <v>7.8734226558858159E-2</v>
      </c>
      <c r="U180" s="19">
        <f t="shared" si="73"/>
        <v>1.3539819535438307</v>
      </c>
      <c r="V180" s="19">
        <f t="shared" si="59"/>
        <v>0</v>
      </c>
      <c r="W180" s="19">
        <f t="shared" si="60"/>
        <v>73.183722916598526</v>
      </c>
      <c r="X180" s="23">
        <f t="shared" si="61"/>
        <v>1144.0817229165984</v>
      </c>
      <c r="Y180" s="22">
        <f>(1/(2*LOG(3.7*$I180/'Calculation Constants'!$B$3*1000)))^2</f>
        <v>9.8211436332891755E-3</v>
      </c>
      <c r="Z180" s="19">
        <f t="shared" si="62"/>
        <v>1.431963236834217</v>
      </c>
      <c r="AA180" s="19">
        <f>IF($H180&gt;0,'Calculation Constants'!$B$9*Hydraulics!$K180^2/2/9.81/MAX($F$4:$F$253)*$H180,"")</f>
        <v>7.8734226558858159E-2</v>
      </c>
      <c r="AB180" s="19">
        <f t="shared" si="81"/>
        <v>1.5106974633930752</v>
      </c>
      <c r="AC180" s="19">
        <f t="shared" si="63"/>
        <v>0</v>
      </c>
      <c r="AD180" s="19">
        <f t="shared" si="74"/>
        <v>68.719617875932272</v>
      </c>
      <c r="AE180" s="23">
        <f t="shared" si="64"/>
        <v>1139.6176178759322</v>
      </c>
      <c r="AF180" s="27">
        <f>(1/(2*LOG(3.7*$I180/'Calculation Constants'!$B$4*1000)))^2</f>
        <v>1.1575055557914658E-2</v>
      </c>
      <c r="AG180" s="19">
        <f t="shared" si="65"/>
        <v>1.6876908272744866</v>
      </c>
      <c r="AH180" s="19">
        <f>IF($H180&gt;0,'Calculation Constants'!$B$9*Hydraulics!$K180^2/2/9.81/MAX($F$4:$F$253)*$H180,"")</f>
        <v>7.8734226558858159E-2</v>
      </c>
      <c r="AI180" s="19">
        <f t="shared" si="75"/>
        <v>1.7664250538333448</v>
      </c>
      <c r="AJ180" s="19">
        <f t="shared" si="66"/>
        <v>0</v>
      </c>
      <c r="AK180" s="19">
        <f t="shared" si="76"/>
        <v>61.45224205073805</v>
      </c>
      <c r="AL180" s="23">
        <f t="shared" si="67"/>
        <v>1132.350242050738</v>
      </c>
      <c r="AM180" s="22">
        <f>(1/(2*LOG(3.7*($I180-0.008)/'Calculation Constants'!$B$5*1000)))^2</f>
        <v>1.4709705891825043E-2</v>
      </c>
      <c r="AN180" s="19">
        <f t="shared" si="77"/>
        <v>2.1543104841910781</v>
      </c>
      <c r="AO180" s="19">
        <f>IF($H180&gt;0,'Calculation Constants'!$B$9*Hydraulics!$K180^2/2/9.81/MAX($F$4:$F$253)*$H180,"")</f>
        <v>7.8734226558858159E-2</v>
      </c>
      <c r="AP180" s="19">
        <f t="shared" si="78"/>
        <v>2.2330447107499363</v>
      </c>
      <c r="AQ180" s="19">
        <f t="shared" si="68"/>
        <v>0</v>
      </c>
      <c r="AR180" s="19">
        <f t="shared" si="79"/>
        <v>48.276934656553294</v>
      </c>
      <c r="AS180" s="23">
        <f t="shared" si="69"/>
        <v>1119.1749346565532</v>
      </c>
    </row>
    <row r="181" spans="5:45">
      <c r="E181" s="35" t="str">
        <f t="shared" si="55"/>
        <v/>
      </c>
      <c r="F181" s="19">
        <f>'Profile data'!A181</f>
        <v>356</v>
      </c>
      <c r="G181" s="19">
        <f>VLOOKUP(F181,'Profile data'!A181:C440,IF($B$22="Botswana 1",2,3))</f>
        <v>1065.018</v>
      </c>
      <c r="H181" s="19">
        <f t="shared" si="80"/>
        <v>2</v>
      </c>
      <c r="I181" s="19">
        <v>1.8</v>
      </c>
      <c r="J181" s="36">
        <f>'Flow Rate Calculations'!$B$7</f>
        <v>4.0831050228310497</v>
      </c>
      <c r="K181" s="36">
        <f t="shared" si="70"/>
        <v>1.6045588828318709</v>
      </c>
      <c r="L181" s="37">
        <f>$I181*$K181/'Calculation Constants'!$B$7</f>
        <v>2555934.503625989</v>
      </c>
      <c r="M181" s="37" t="str">
        <f t="shared" si="56"/>
        <v>Greater Dynamic Pressures</v>
      </c>
      <c r="N181" s="23">
        <f t="shared" si="71"/>
        <v>77.709740963054628</v>
      </c>
      <c r="O181" s="55">
        <f t="shared" si="57"/>
        <v>73.088920412538982</v>
      </c>
      <c r="P181" s="64">
        <f>MAX(I181*1000/'Calculation Constants'!$B$14,O181*10*I181*1000/2/('Calculation Constants'!$B$12*1000*'Calculation Constants'!$B$13))</f>
        <v>11.25</v>
      </c>
      <c r="Q181" s="66">
        <f t="shared" si="58"/>
        <v>992548.40161508287</v>
      </c>
      <c r="R181" s="27">
        <f>(1/(2*LOG(3.7*$I181/'Calculation Constants'!$B$2*1000)))^2</f>
        <v>8.7463077071963571E-3</v>
      </c>
      <c r="S181" s="19">
        <f t="shared" si="72"/>
        <v>1.2752477269849725</v>
      </c>
      <c r="T181" s="19">
        <f>IF($H181&gt;0,'Calculation Constants'!$B$9*Hydraulics!$K181^2/2/9.81/MAX($F$4:$F$253)*$H181,"")</f>
        <v>7.8734226558858159E-2</v>
      </c>
      <c r="U181" s="19">
        <f t="shared" si="73"/>
        <v>1.3539819535438307</v>
      </c>
      <c r="V181" s="19">
        <f t="shared" si="59"/>
        <v>0</v>
      </c>
      <c r="W181" s="19">
        <f t="shared" si="60"/>
        <v>77.709740963054628</v>
      </c>
      <c r="X181" s="23">
        <f t="shared" si="61"/>
        <v>1142.7277409630547</v>
      </c>
      <c r="Y181" s="22">
        <f>(1/(2*LOG(3.7*$I181/'Calculation Constants'!$B$3*1000)))^2</f>
        <v>9.8211436332891755E-3</v>
      </c>
      <c r="Z181" s="19">
        <f t="shared" si="62"/>
        <v>1.431963236834217</v>
      </c>
      <c r="AA181" s="19">
        <f>IF($H181&gt;0,'Calculation Constants'!$B$9*Hydraulics!$K181^2/2/9.81/MAX($F$4:$F$253)*$H181,"")</f>
        <v>7.8734226558858159E-2</v>
      </c>
      <c r="AB181" s="19">
        <f t="shared" si="81"/>
        <v>1.5106974633930752</v>
      </c>
      <c r="AC181" s="19">
        <f t="shared" si="63"/>
        <v>0</v>
      </c>
      <c r="AD181" s="19">
        <f t="shared" si="74"/>
        <v>73.088920412538982</v>
      </c>
      <c r="AE181" s="23">
        <f t="shared" si="64"/>
        <v>1138.106920412539</v>
      </c>
      <c r="AF181" s="27">
        <f>(1/(2*LOG(3.7*$I181/'Calculation Constants'!$B$4*1000)))^2</f>
        <v>1.1575055557914658E-2</v>
      </c>
      <c r="AG181" s="19">
        <f t="shared" si="65"/>
        <v>1.6876908272744866</v>
      </c>
      <c r="AH181" s="19">
        <f>IF($H181&gt;0,'Calculation Constants'!$B$9*Hydraulics!$K181^2/2/9.81/MAX($F$4:$F$253)*$H181,"")</f>
        <v>7.8734226558858159E-2</v>
      </c>
      <c r="AI181" s="19">
        <f t="shared" si="75"/>
        <v>1.7664250538333448</v>
      </c>
      <c r="AJ181" s="19">
        <f t="shared" si="66"/>
        <v>0</v>
      </c>
      <c r="AK181" s="19">
        <f t="shared" si="76"/>
        <v>65.565816996904687</v>
      </c>
      <c r="AL181" s="23">
        <f t="shared" si="67"/>
        <v>1130.5838169969047</v>
      </c>
      <c r="AM181" s="22">
        <f>(1/(2*LOG(3.7*($I181-0.008)/'Calculation Constants'!$B$5*1000)))^2</f>
        <v>1.4709705891825043E-2</v>
      </c>
      <c r="AN181" s="19">
        <f t="shared" si="77"/>
        <v>2.1543104841910781</v>
      </c>
      <c r="AO181" s="19">
        <f>IF($H181&gt;0,'Calculation Constants'!$B$9*Hydraulics!$K181^2/2/9.81/MAX($F$4:$F$253)*$H181,"")</f>
        <v>7.8734226558858159E-2</v>
      </c>
      <c r="AP181" s="19">
        <f t="shared" si="78"/>
        <v>2.2330447107499363</v>
      </c>
      <c r="AQ181" s="19">
        <f t="shared" si="68"/>
        <v>0</v>
      </c>
      <c r="AR181" s="19">
        <f t="shared" si="79"/>
        <v>51.923889945803239</v>
      </c>
      <c r="AS181" s="23">
        <f t="shared" si="69"/>
        <v>1116.9418899458033</v>
      </c>
    </row>
    <row r="182" spans="5:45">
      <c r="E182" s="35" t="str">
        <f t="shared" si="55"/>
        <v/>
      </c>
      <c r="F182" s="19">
        <f>'Profile data'!A182</f>
        <v>358</v>
      </c>
      <c r="G182" s="19">
        <f>VLOOKUP(F182,'Profile data'!A182:C441,IF($B$22="Botswana 1",2,3))</f>
        <v>1059.58</v>
      </c>
      <c r="H182" s="19">
        <f t="shared" si="80"/>
        <v>2</v>
      </c>
      <c r="I182" s="19">
        <v>1.8</v>
      </c>
      <c r="J182" s="36">
        <f>'Flow Rate Calculations'!$B$7</f>
        <v>4.0831050228310497</v>
      </c>
      <c r="K182" s="36">
        <f t="shared" si="70"/>
        <v>1.6045588828318709</v>
      </c>
      <c r="L182" s="37">
        <f>$I182*$K182/'Calculation Constants'!$B$7</f>
        <v>2555934.503625989</v>
      </c>
      <c r="M182" s="37" t="str">
        <f t="shared" si="56"/>
        <v>Greater Dynamic Pressures</v>
      </c>
      <c r="N182" s="23">
        <f t="shared" si="71"/>
        <v>81.79375900951095</v>
      </c>
      <c r="O182" s="55">
        <f t="shared" si="57"/>
        <v>77.016222949145913</v>
      </c>
      <c r="P182" s="64">
        <f>MAX(I182*1000/'Calculation Constants'!$B$14,O182*10*I182*1000/2/('Calculation Constants'!$B$12*1000*'Calculation Constants'!$B$13))</f>
        <v>11.25</v>
      </c>
      <c r="Q182" s="66">
        <f t="shared" si="58"/>
        <v>992548.40161508287</v>
      </c>
      <c r="R182" s="27">
        <f>(1/(2*LOG(3.7*$I182/'Calculation Constants'!$B$2*1000)))^2</f>
        <v>8.7463077071963571E-3</v>
      </c>
      <c r="S182" s="19">
        <f t="shared" si="72"/>
        <v>1.2752477269849725</v>
      </c>
      <c r="T182" s="19">
        <f>IF($H182&gt;0,'Calculation Constants'!$B$9*Hydraulics!$K182^2/2/9.81/MAX($F$4:$F$253)*$H182,"")</f>
        <v>7.8734226558858159E-2</v>
      </c>
      <c r="U182" s="19">
        <f t="shared" si="73"/>
        <v>1.3539819535438307</v>
      </c>
      <c r="V182" s="19">
        <f t="shared" si="59"/>
        <v>0</v>
      </c>
      <c r="W182" s="19">
        <f t="shared" si="60"/>
        <v>81.79375900951095</v>
      </c>
      <c r="X182" s="23">
        <f t="shared" si="61"/>
        <v>1141.3737590095109</v>
      </c>
      <c r="Y182" s="22">
        <f>(1/(2*LOG(3.7*$I182/'Calculation Constants'!$B$3*1000)))^2</f>
        <v>9.8211436332891755E-3</v>
      </c>
      <c r="Z182" s="19">
        <f t="shared" si="62"/>
        <v>1.431963236834217</v>
      </c>
      <c r="AA182" s="19">
        <f>IF($H182&gt;0,'Calculation Constants'!$B$9*Hydraulics!$K182^2/2/9.81/MAX($F$4:$F$253)*$H182,"")</f>
        <v>7.8734226558858159E-2</v>
      </c>
      <c r="AB182" s="19">
        <f t="shared" si="81"/>
        <v>1.5106974633930752</v>
      </c>
      <c r="AC182" s="19">
        <f t="shared" si="63"/>
        <v>0</v>
      </c>
      <c r="AD182" s="19">
        <f t="shared" si="74"/>
        <v>77.016222949145913</v>
      </c>
      <c r="AE182" s="23">
        <f t="shared" si="64"/>
        <v>1136.5962229491458</v>
      </c>
      <c r="AF182" s="27">
        <f>(1/(2*LOG(3.7*$I182/'Calculation Constants'!$B$4*1000)))^2</f>
        <v>1.1575055557914658E-2</v>
      </c>
      <c r="AG182" s="19">
        <f t="shared" si="65"/>
        <v>1.6876908272744866</v>
      </c>
      <c r="AH182" s="19">
        <f>IF($H182&gt;0,'Calculation Constants'!$B$9*Hydraulics!$K182^2/2/9.81/MAX($F$4:$F$253)*$H182,"")</f>
        <v>7.8734226558858159E-2</v>
      </c>
      <c r="AI182" s="19">
        <f t="shared" si="75"/>
        <v>1.7664250538333448</v>
      </c>
      <c r="AJ182" s="19">
        <f t="shared" si="66"/>
        <v>0</v>
      </c>
      <c r="AK182" s="19">
        <f t="shared" si="76"/>
        <v>69.237391943071543</v>
      </c>
      <c r="AL182" s="23">
        <f t="shared" si="67"/>
        <v>1128.8173919430715</v>
      </c>
      <c r="AM182" s="22">
        <f>(1/(2*LOG(3.7*($I182-0.008)/'Calculation Constants'!$B$5*1000)))^2</f>
        <v>1.4709705891825043E-2</v>
      </c>
      <c r="AN182" s="19">
        <f t="shared" si="77"/>
        <v>2.1543104841910781</v>
      </c>
      <c r="AO182" s="19">
        <f>IF($H182&gt;0,'Calculation Constants'!$B$9*Hydraulics!$K182^2/2/9.81/MAX($F$4:$F$253)*$H182,"")</f>
        <v>7.8734226558858159E-2</v>
      </c>
      <c r="AP182" s="19">
        <f t="shared" si="78"/>
        <v>2.2330447107499363</v>
      </c>
      <c r="AQ182" s="19">
        <f t="shared" si="68"/>
        <v>0</v>
      </c>
      <c r="AR182" s="19">
        <f t="shared" si="79"/>
        <v>55.128845235053404</v>
      </c>
      <c r="AS182" s="23">
        <f t="shared" si="69"/>
        <v>1114.7088452350533</v>
      </c>
    </row>
    <row r="183" spans="5:45">
      <c r="E183" s="35" t="str">
        <f t="shared" si="55"/>
        <v/>
      </c>
      <c r="F183" s="19">
        <f>'Profile data'!A183</f>
        <v>360</v>
      </c>
      <c r="G183" s="19">
        <f>VLOOKUP(F183,'Profile data'!A183:C442,IF($B$22="Botswana 1",2,3))</f>
        <v>1055.2840000000001</v>
      </c>
      <c r="H183" s="19">
        <f t="shared" si="80"/>
        <v>2</v>
      </c>
      <c r="I183" s="19">
        <v>1.8</v>
      </c>
      <c r="J183" s="36">
        <f>'Flow Rate Calculations'!$B$7</f>
        <v>4.0831050228310497</v>
      </c>
      <c r="K183" s="36">
        <f t="shared" si="70"/>
        <v>1.6045588828318709</v>
      </c>
      <c r="L183" s="37">
        <f>$I183*$K183/'Calculation Constants'!$B$7</f>
        <v>2555934.503625989</v>
      </c>
      <c r="M183" s="37" t="str">
        <f t="shared" si="56"/>
        <v>Greater Dynamic Pressures</v>
      </c>
      <c r="N183" s="23">
        <f t="shared" si="71"/>
        <v>84.735777055966992</v>
      </c>
      <c r="O183" s="55">
        <f t="shared" si="57"/>
        <v>79.801525485752563</v>
      </c>
      <c r="P183" s="64">
        <f>MAX(I183*1000/'Calculation Constants'!$B$14,O183*10*I183*1000/2/('Calculation Constants'!$B$12*1000*'Calculation Constants'!$B$13))</f>
        <v>11.25</v>
      </c>
      <c r="Q183" s="66">
        <f t="shared" si="58"/>
        <v>992548.40161508287</v>
      </c>
      <c r="R183" s="27">
        <f>(1/(2*LOG(3.7*$I183/'Calculation Constants'!$B$2*1000)))^2</f>
        <v>8.7463077071963571E-3</v>
      </c>
      <c r="S183" s="19">
        <f t="shared" si="72"/>
        <v>1.2752477269849725</v>
      </c>
      <c r="T183" s="19">
        <f>IF($H183&gt;0,'Calculation Constants'!$B$9*Hydraulics!$K183^2/2/9.81/MAX($F$4:$F$253)*$H183,"")</f>
        <v>7.8734226558858159E-2</v>
      </c>
      <c r="U183" s="19">
        <f t="shared" si="73"/>
        <v>1.3539819535438307</v>
      </c>
      <c r="V183" s="19">
        <f t="shared" si="59"/>
        <v>0</v>
      </c>
      <c r="W183" s="19">
        <f t="shared" si="60"/>
        <v>84.735777055966992</v>
      </c>
      <c r="X183" s="23">
        <f t="shared" si="61"/>
        <v>1140.0197770559671</v>
      </c>
      <c r="Y183" s="22">
        <f>(1/(2*LOG(3.7*$I183/'Calculation Constants'!$B$3*1000)))^2</f>
        <v>9.8211436332891755E-3</v>
      </c>
      <c r="Z183" s="19">
        <f t="shared" si="62"/>
        <v>1.431963236834217</v>
      </c>
      <c r="AA183" s="19">
        <f>IF($H183&gt;0,'Calculation Constants'!$B$9*Hydraulics!$K183^2/2/9.81/MAX($F$4:$F$253)*$H183,"")</f>
        <v>7.8734226558858159E-2</v>
      </c>
      <c r="AB183" s="19">
        <f t="shared" si="81"/>
        <v>1.5106974633930752</v>
      </c>
      <c r="AC183" s="19">
        <f t="shared" si="63"/>
        <v>0</v>
      </c>
      <c r="AD183" s="19">
        <f t="shared" si="74"/>
        <v>79.801525485752563</v>
      </c>
      <c r="AE183" s="23">
        <f t="shared" si="64"/>
        <v>1135.0855254857527</v>
      </c>
      <c r="AF183" s="27">
        <f>(1/(2*LOG(3.7*$I183/'Calculation Constants'!$B$4*1000)))^2</f>
        <v>1.1575055557914658E-2</v>
      </c>
      <c r="AG183" s="19">
        <f t="shared" si="65"/>
        <v>1.6876908272744866</v>
      </c>
      <c r="AH183" s="19">
        <f>IF($H183&gt;0,'Calculation Constants'!$B$9*Hydraulics!$K183^2/2/9.81/MAX($F$4:$F$253)*$H183,"")</f>
        <v>7.8734226558858159E-2</v>
      </c>
      <c r="AI183" s="19">
        <f t="shared" si="75"/>
        <v>1.7664250538333448</v>
      </c>
      <c r="AJ183" s="19">
        <f t="shared" si="66"/>
        <v>0</v>
      </c>
      <c r="AK183" s="19">
        <f t="shared" si="76"/>
        <v>71.76696688923812</v>
      </c>
      <c r="AL183" s="23">
        <f t="shared" si="67"/>
        <v>1127.0509668892382</v>
      </c>
      <c r="AM183" s="22">
        <f>(1/(2*LOG(3.7*($I183-0.008)/'Calculation Constants'!$B$5*1000)))^2</f>
        <v>1.4709705891825043E-2</v>
      </c>
      <c r="AN183" s="19">
        <f t="shared" si="77"/>
        <v>2.1543104841910781</v>
      </c>
      <c r="AO183" s="19">
        <f>IF($H183&gt;0,'Calculation Constants'!$B$9*Hydraulics!$K183^2/2/9.81/MAX($F$4:$F$253)*$H183,"")</f>
        <v>7.8734226558858159E-2</v>
      </c>
      <c r="AP183" s="19">
        <f t="shared" si="78"/>
        <v>2.2330447107499363</v>
      </c>
      <c r="AQ183" s="19">
        <f t="shared" si="68"/>
        <v>0</v>
      </c>
      <c r="AR183" s="19">
        <f t="shared" si="79"/>
        <v>57.191800524303289</v>
      </c>
      <c r="AS183" s="23">
        <f t="shared" si="69"/>
        <v>1112.4758005243034</v>
      </c>
    </row>
    <row r="184" spans="5:45">
      <c r="E184" s="35" t="str">
        <f t="shared" si="55"/>
        <v/>
      </c>
      <c r="F184" s="19">
        <f>'Profile data'!A184</f>
        <v>362</v>
      </c>
      <c r="G184" s="19">
        <f>VLOOKUP(F184,'Profile data'!A184:C443,IF($B$22="Botswana 1",2,3))</f>
        <v>1050.886</v>
      </c>
      <c r="H184" s="19">
        <f t="shared" si="80"/>
        <v>2</v>
      </c>
      <c r="I184" s="19">
        <v>1.8</v>
      </c>
      <c r="J184" s="36">
        <f>'Flow Rate Calculations'!$B$7</f>
        <v>4.0831050228310497</v>
      </c>
      <c r="K184" s="36">
        <f t="shared" si="70"/>
        <v>1.6045588828318709</v>
      </c>
      <c r="L184" s="37">
        <f>$I184*$K184/'Calculation Constants'!$B$7</f>
        <v>2555934.503625989</v>
      </c>
      <c r="M184" s="37" t="str">
        <f t="shared" si="56"/>
        <v>Greater Dynamic Pressures</v>
      </c>
      <c r="N184" s="23">
        <f t="shared" si="71"/>
        <v>87.77979510242335</v>
      </c>
      <c r="O184" s="55">
        <f t="shared" si="57"/>
        <v>82.68882802235953</v>
      </c>
      <c r="P184" s="64">
        <f>MAX(I184*1000/'Calculation Constants'!$B$14,O184*10*I184*1000/2/('Calculation Constants'!$B$12*1000*'Calculation Constants'!$B$13))</f>
        <v>11.25</v>
      </c>
      <c r="Q184" s="66">
        <f t="shared" si="58"/>
        <v>992548.40161508287</v>
      </c>
      <c r="R184" s="27">
        <f>(1/(2*LOG(3.7*$I184/'Calculation Constants'!$B$2*1000)))^2</f>
        <v>8.7463077071963571E-3</v>
      </c>
      <c r="S184" s="19">
        <f t="shared" si="72"/>
        <v>1.2752477269849725</v>
      </c>
      <c r="T184" s="19">
        <f>IF($H184&gt;0,'Calculation Constants'!$B$9*Hydraulics!$K184^2/2/9.81/MAX($F$4:$F$253)*$H184,"")</f>
        <v>7.8734226558858159E-2</v>
      </c>
      <c r="U184" s="19">
        <f t="shared" si="73"/>
        <v>1.3539819535438307</v>
      </c>
      <c r="V184" s="19">
        <f t="shared" si="59"/>
        <v>0</v>
      </c>
      <c r="W184" s="19">
        <f t="shared" si="60"/>
        <v>87.77979510242335</v>
      </c>
      <c r="X184" s="23">
        <f t="shared" si="61"/>
        <v>1138.6657951024233</v>
      </c>
      <c r="Y184" s="22">
        <f>(1/(2*LOG(3.7*$I184/'Calculation Constants'!$B$3*1000)))^2</f>
        <v>9.8211436332891755E-3</v>
      </c>
      <c r="Z184" s="19">
        <f t="shared" si="62"/>
        <v>1.431963236834217</v>
      </c>
      <c r="AA184" s="19">
        <f>IF($H184&gt;0,'Calculation Constants'!$B$9*Hydraulics!$K184^2/2/9.81/MAX($F$4:$F$253)*$H184,"")</f>
        <v>7.8734226558858159E-2</v>
      </c>
      <c r="AB184" s="19">
        <f t="shared" si="81"/>
        <v>1.5106974633930752</v>
      </c>
      <c r="AC184" s="19">
        <f t="shared" si="63"/>
        <v>0</v>
      </c>
      <c r="AD184" s="19">
        <f t="shared" si="74"/>
        <v>82.68882802235953</v>
      </c>
      <c r="AE184" s="23">
        <f t="shared" si="64"/>
        <v>1133.5748280223595</v>
      </c>
      <c r="AF184" s="27">
        <f>(1/(2*LOG(3.7*$I184/'Calculation Constants'!$B$4*1000)))^2</f>
        <v>1.1575055557914658E-2</v>
      </c>
      <c r="AG184" s="19">
        <f t="shared" si="65"/>
        <v>1.6876908272744866</v>
      </c>
      <c r="AH184" s="19">
        <f>IF($H184&gt;0,'Calculation Constants'!$B$9*Hydraulics!$K184^2/2/9.81/MAX($F$4:$F$253)*$H184,"")</f>
        <v>7.8734226558858159E-2</v>
      </c>
      <c r="AI184" s="19">
        <f t="shared" si="75"/>
        <v>1.7664250538333448</v>
      </c>
      <c r="AJ184" s="19">
        <f t="shared" si="66"/>
        <v>0</v>
      </c>
      <c r="AK184" s="19">
        <f t="shared" si="76"/>
        <v>74.398541835405013</v>
      </c>
      <c r="AL184" s="23">
        <f t="shared" si="67"/>
        <v>1125.284541835405</v>
      </c>
      <c r="AM184" s="22">
        <f>(1/(2*LOG(3.7*($I184-0.008)/'Calculation Constants'!$B$5*1000)))^2</f>
        <v>1.4709705891825043E-2</v>
      </c>
      <c r="AN184" s="19">
        <f t="shared" si="77"/>
        <v>2.1543104841910781</v>
      </c>
      <c r="AO184" s="19">
        <f>IF($H184&gt;0,'Calculation Constants'!$B$9*Hydraulics!$K184^2/2/9.81/MAX($F$4:$F$253)*$H184,"")</f>
        <v>7.8734226558858159E-2</v>
      </c>
      <c r="AP184" s="19">
        <f t="shared" si="78"/>
        <v>2.2330447107499363</v>
      </c>
      <c r="AQ184" s="19">
        <f t="shared" si="68"/>
        <v>0</v>
      </c>
      <c r="AR184" s="19">
        <f t="shared" si="79"/>
        <v>59.356755813553491</v>
      </c>
      <c r="AS184" s="23">
        <f t="shared" si="69"/>
        <v>1110.2427558135535</v>
      </c>
    </row>
    <row r="185" spans="5:45">
      <c r="E185" s="35" t="str">
        <f t="shared" si="55"/>
        <v/>
      </c>
      <c r="F185" s="19">
        <f>'Profile data'!A185</f>
        <v>364</v>
      </c>
      <c r="G185" s="19">
        <f>VLOOKUP(F185,'Profile data'!A185:C444,IF($B$22="Botswana 1",2,3))</f>
        <v>1052.6469999999999</v>
      </c>
      <c r="H185" s="19">
        <f t="shared" si="80"/>
        <v>2</v>
      </c>
      <c r="I185" s="19">
        <v>1.8</v>
      </c>
      <c r="J185" s="36">
        <f>'Flow Rate Calculations'!$B$7</f>
        <v>4.0831050228310497</v>
      </c>
      <c r="K185" s="36">
        <f t="shared" si="70"/>
        <v>1.6045588828318709</v>
      </c>
      <c r="L185" s="37">
        <f>$I185*$K185/'Calculation Constants'!$B$7</f>
        <v>2555934.503625989</v>
      </c>
      <c r="M185" s="37" t="str">
        <f t="shared" si="56"/>
        <v>Greater Dynamic Pressures</v>
      </c>
      <c r="N185" s="23">
        <f t="shared" si="71"/>
        <v>84.664813148879603</v>
      </c>
      <c r="O185" s="55">
        <f t="shared" si="57"/>
        <v>79.417130558966392</v>
      </c>
      <c r="P185" s="64">
        <f>MAX(I185*1000/'Calculation Constants'!$B$14,O185*10*I185*1000/2/('Calculation Constants'!$B$12*1000*'Calculation Constants'!$B$13))</f>
        <v>11.25</v>
      </c>
      <c r="Q185" s="66">
        <f t="shared" si="58"/>
        <v>992548.40161508287</v>
      </c>
      <c r="R185" s="27">
        <f>(1/(2*LOG(3.7*$I185/'Calculation Constants'!$B$2*1000)))^2</f>
        <v>8.7463077071963571E-3</v>
      </c>
      <c r="S185" s="19">
        <f t="shared" si="72"/>
        <v>1.2752477269849725</v>
      </c>
      <c r="T185" s="19">
        <f>IF($H185&gt;0,'Calculation Constants'!$B$9*Hydraulics!$K185^2/2/9.81/MAX($F$4:$F$253)*$H185,"")</f>
        <v>7.8734226558858159E-2</v>
      </c>
      <c r="U185" s="19">
        <f t="shared" si="73"/>
        <v>1.3539819535438307</v>
      </c>
      <c r="V185" s="19">
        <f t="shared" si="59"/>
        <v>0</v>
      </c>
      <c r="W185" s="19">
        <f t="shared" si="60"/>
        <v>84.664813148879603</v>
      </c>
      <c r="X185" s="23">
        <f t="shared" si="61"/>
        <v>1137.3118131488795</v>
      </c>
      <c r="Y185" s="22">
        <f>(1/(2*LOG(3.7*$I185/'Calculation Constants'!$B$3*1000)))^2</f>
        <v>9.8211436332891755E-3</v>
      </c>
      <c r="Z185" s="19">
        <f t="shared" si="62"/>
        <v>1.431963236834217</v>
      </c>
      <c r="AA185" s="19">
        <f>IF($H185&gt;0,'Calculation Constants'!$B$9*Hydraulics!$K185^2/2/9.81/MAX($F$4:$F$253)*$H185,"")</f>
        <v>7.8734226558858159E-2</v>
      </c>
      <c r="AB185" s="19">
        <f t="shared" si="81"/>
        <v>1.5106974633930752</v>
      </c>
      <c r="AC185" s="19">
        <f t="shared" si="63"/>
        <v>0</v>
      </c>
      <c r="AD185" s="19">
        <f t="shared" si="74"/>
        <v>79.417130558966392</v>
      </c>
      <c r="AE185" s="23">
        <f t="shared" si="64"/>
        <v>1132.0641305589663</v>
      </c>
      <c r="AF185" s="27">
        <f>(1/(2*LOG(3.7*$I185/'Calculation Constants'!$B$4*1000)))^2</f>
        <v>1.1575055557914658E-2</v>
      </c>
      <c r="AG185" s="19">
        <f t="shared" si="65"/>
        <v>1.6876908272744866</v>
      </c>
      <c r="AH185" s="19">
        <f>IF($H185&gt;0,'Calculation Constants'!$B$9*Hydraulics!$K185^2/2/9.81/MAX($F$4:$F$253)*$H185,"")</f>
        <v>7.8734226558858159E-2</v>
      </c>
      <c r="AI185" s="19">
        <f t="shared" si="75"/>
        <v>1.7664250538333448</v>
      </c>
      <c r="AJ185" s="19">
        <f t="shared" si="66"/>
        <v>0</v>
      </c>
      <c r="AK185" s="19">
        <f t="shared" si="76"/>
        <v>70.8711167815718</v>
      </c>
      <c r="AL185" s="23">
        <f t="shared" si="67"/>
        <v>1123.5181167815717</v>
      </c>
      <c r="AM185" s="22">
        <f>(1/(2*LOG(3.7*($I185-0.008)/'Calculation Constants'!$B$5*1000)))^2</f>
        <v>1.4709705891825043E-2</v>
      </c>
      <c r="AN185" s="19">
        <f t="shared" si="77"/>
        <v>2.1543104841910781</v>
      </c>
      <c r="AO185" s="19">
        <f>IF($H185&gt;0,'Calculation Constants'!$B$9*Hydraulics!$K185^2/2/9.81/MAX($F$4:$F$253)*$H185,"")</f>
        <v>7.8734226558858159E-2</v>
      </c>
      <c r="AP185" s="19">
        <f t="shared" si="78"/>
        <v>2.2330447107499363</v>
      </c>
      <c r="AQ185" s="19">
        <f t="shared" si="68"/>
        <v>0</v>
      </c>
      <c r="AR185" s="19">
        <f t="shared" si="79"/>
        <v>55.362711102803587</v>
      </c>
      <c r="AS185" s="23">
        <f t="shared" si="69"/>
        <v>1108.0097111028035</v>
      </c>
    </row>
    <row r="186" spans="5:45">
      <c r="E186" s="35" t="str">
        <f t="shared" si="55"/>
        <v/>
      </c>
      <c r="F186" s="19">
        <f>'Profile data'!A186</f>
        <v>366</v>
      </c>
      <c r="G186" s="19">
        <f>VLOOKUP(F186,'Profile data'!A186:C445,IF($B$22="Botswana 1",2,3))</f>
        <v>1051.117</v>
      </c>
      <c r="H186" s="19">
        <f t="shared" si="80"/>
        <v>2</v>
      </c>
      <c r="I186" s="19">
        <v>1.8</v>
      </c>
      <c r="J186" s="36">
        <f>'Flow Rate Calculations'!$B$7</f>
        <v>4.0831050228310497</v>
      </c>
      <c r="K186" s="36">
        <f t="shared" si="70"/>
        <v>1.6045588828318709</v>
      </c>
      <c r="L186" s="37">
        <f>$I186*$K186/'Calculation Constants'!$B$7</f>
        <v>2555934.503625989</v>
      </c>
      <c r="M186" s="37" t="str">
        <f t="shared" si="56"/>
        <v>Greater Dynamic Pressures</v>
      </c>
      <c r="N186" s="23">
        <f t="shared" si="71"/>
        <v>84.840831195335795</v>
      </c>
      <c r="O186" s="55">
        <f t="shared" si="57"/>
        <v>79.436433095573193</v>
      </c>
      <c r="P186" s="64">
        <f>MAX(I186*1000/'Calculation Constants'!$B$14,O186*10*I186*1000/2/('Calculation Constants'!$B$12*1000*'Calculation Constants'!$B$13))</f>
        <v>11.25</v>
      </c>
      <c r="Q186" s="66">
        <f t="shared" si="58"/>
        <v>992548.40161508287</v>
      </c>
      <c r="R186" s="27">
        <f>(1/(2*LOG(3.7*$I186/'Calculation Constants'!$B$2*1000)))^2</f>
        <v>8.7463077071963571E-3</v>
      </c>
      <c r="S186" s="19">
        <f t="shared" si="72"/>
        <v>1.2752477269849725</v>
      </c>
      <c r="T186" s="19">
        <f>IF($H186&gt;0,'Calculation Constants'!$B$9*Hydraulics!$K186^2/2/9.81/MAX($F$4:$F$253)*$H186,"")</f>
        <v>7.8734226558858159E-2</v>
      </c>
      <c r="U186" s="19">
        <f t="shared" si="73"/>
        <v>1.3539819535438307</v>
      </c>
      <c r="V186" s="19">
        <f t="shared" si="59"/>
        <v>0</v>
      </c>
      <c r="W186" s="19">
        <f t="shared" si="60"/>
        <v>84.840831195335795</v>
      </c>
      <c r="X186" s="23">
        <f t="shared" si="61"/>
        <v>1135.9578311953358</v>
      </c>
      <c r="Y186" s="22">
        <f>(1/(2*LOG(3.7*$I186/'Calculation Constants'!$B$3*1000)))^2</f>
        <v>9.8211436332891755E-3</v>
      </c>
      <c r="Z186" s="19">
        <f t="shared" si="62"/>
        <v>1.431963236834217</v>
      </c>
      <c r="AA186" s="19">
        <f>IF($H186&gt;0,'Calculation Constants'!$B$9*Hydraulics!$K186^2/2/9.81/MAX($F$4:$F$253)*$H186,"")</f>
        <v>7.8734226558858159E-2</v>
      </c>
      <c r="AB186" s="19">
        <f t="shared" si="81"/>
        <v>1.5106974633930752</v>
      </c>
      <c r="AC186" s="19">
        <f t="shared" si="63"/>
        <v>0</v>
      </c>
      <c r="AD186" s="19">
        <f t="shared" si="74"/>
        <v>79.436433095573193</v>
      </c>
      <c r="AE186" s="23">
        <f t="shared" si="64"/>
        <v>1130.5534330955732</v>
      </c>
      <c r="AF186" s="27">
        <f>(1/(2*LOG(3.7*$I186/'Calculation Constants'!$B$4*1000)))^2</f>
        <v>1.1575055557914658E-2</v>
      </c>
      <c r="AG186" s="19">
        <f t="shared" si="65"/>
        <v>1.6876908272744866</v>
      </c>
      <c r="AH186" s="19">
        <f>IF($H186&gt;0,'Calculation Constants'!$B$9*Hydraulics!$K186^2/2/9.81/MAX($F$4:$F$253)*$H186,"")</f>
        <v>7.8734226558858159E-2</v>
      </c>
      <c r="AI186" s="19">
        <f t="shared" si="75"/>
        <v>1.7664250538333448</v>
      </c>
      <c r="AJ186" s="19">
        <f t="shared" si="66"/>
        <v>0</v>
      </c>
      <c r="AK186" s="19">
        <f t="shared" si="76"/>
        <v>70.634691727738527</v>
      </c>
      <c r="AL186" s="23">
        <f t="shared" si="67"/>
        <v>1121.7516917277385</v>
      </c>
      <c r="AM186" s="22">
        <f>(1/(2*LOG(3.7*($I186-0.008)/'Calculation Constants'!$B$5*1000)))^2</f>
        <v>1.4709705891825043E-2</v>
      </c>
      <c r="AN186" s="19">
        <f t="shared" si="77"/>
        <v>2.1543104841910781</v>
      </c>
      <c r="AO186" s="19">
        <f>IF($H186&gt;0,'Calculation Constants'!$B$9*Hydraulics!$K186^2/2/9.81/MAX($F$4:$F$253)*$H186,"")</f>
        <v>7.8734226558858159E-2</v>
      </c>
      <c r="AP186" s="19">
        <f t="shared" si="78"/>
        <v>2.2330447107499363</v>
      </c>
      <c r="AQ186" s="19">
        <f t="shared" si="68"/>
        <v>0</v>
      </c>
      <c r="AR186" s="19">
        <f t="shared" si="79"/>
        <v>54.659666392053623</v>
      </c>
      <c r="AS186" s="23">
        <f t="shared" si="69"/>
        <v>1105.7766663920536</v>
      </c>
    </row>
    <row r="187" spans="5:45">
      <c r="E187" s="35" t="str">
        <f t="shared" si="55"/>
        <v/>
      </c>
      <c r="F187" s="19">
        <f>'Profile data'!A187</f>
        <v>368</v>
      </c>
      <c r="G187" s="19">
        <f>VLOOKUP(F187,'Profile data'!A187:C446,IF($B$22="Botswana 1",2,3))</f>
        <v>1048.2660000000001</v>
      </c>
      <c r="H187" s="19">
        <f t="shared" si="80"/>
        <v>2</v>
      </c>
      <c r="I187" s="19">
        <v>1.8</v>
      </c>
      <c r="J187" s="36">
        <f>'Flow Rate Calculations'!$B$7</f>
        <v>4.0831050228310497</v>
      </c>
      <c r="K187" s="36">
        <f t="shared" si="70"/>
        <v>1.6045588828318709</v>
      </c>
      <c r="L187" s="37">
        <f>$I187*$K187/'Calculation Constants'!$B$7</f>
        <v>2555934.503625989</v>
      </c>
      <c r="M187" s="37" t="str">
        <f t="shared" si="56"/>
        <v>Greater Dynamic Pressures</v>
      </c>
      <c r="N187" s="23">
        <f t="shared" si="71"/>
        <v>86.337849241791901</v>
      </c>
      <c r="O187" s="55">
        <f t="shared" si="57"/>
        <v>80.776735632179907</v>
      </c>
      <c r="P187" s="64">
        <f>MAX(I187*1000/'Calculation Constants'!$B$14,O187*10*I187*1000/2/('Calculation Constants'!$B$12*1000*'Calculation Constants'!$B$13))</f>
        <v>11.25</v>
      </c>
      <c r="Q187" s="66">
        <f t="shared" si="58"/>
        <v>992548.40161508287</v>
      </c>
      <c r="R187" s="27">
        <f>(1/(2*LOG(3.7*$I187/'Calculation Constants'!$B$2*1000)))^2</f>
        <v>8.7463077071963571E-3</v>
      </c>
      <c r="S187" s="19">
        <f t="shared" si="72"/>
        <v>1.2752477269849725</v>
      </c>
      <c r="T187" s="19">
        <f>IF($H187&gt;0,'Calculation Constants'!$B$9*Hydraulics!$K187^2/2/9.81/MAX($F$4:$F$253)*$H187,"")</f>
        <v>7.8734226558858159E-2</v>
      </c>
      <c r="U187" s="19">
        <f t="shared" si="73"/>
        <v>1.3539819535438307</v>
      </c>
      <c r="V187" s="19">
        <f t="shared" si="59"/>
        <v>0</v>
      </c>
      <c r="W187" s="19">
        <f t="shared" si="60"/>
        <v>86.337849241791901</v>
      </c>
      <c r="X187" s="23">
        <f t="shared" si="61"/>
        <v>1134.603849241792</v>
      </c>
      <c r="Y187" s="22">
        <f>(1/(2*LOG(3.7*$I187/'Calculation Constants'!$B$3*1000)))^2</f>
        <v>9.8211436332891755E-3</v>
      </c>
      <c r="Z187" s="19">
        <f t="shared" si="62"/>
        <v>1.431963236834217</v>
      </c>
      <c r="AA187" s="19">
        <f>IF($H187&gt;0,'Calculation Constants'!$B$9*Hydraulics!$K187^2/2/9.81/MAX($F$4:$F$253)*$H187,"")</f>
        <v>7.8734226558858159E-2</v>
      </c>
      <c r="AB187" s="19">
        <f t="shared" si="81"/>
        <v>1.5106974633930752</v>
      </c>
      <c r="AC187" s="19">
        <f t="shared" si="63"/>
        <v>0</v>
      </c>
      <c r="AD187" s="19">
        <f t="shared" si="74"/>
        <v>80.776735632179907</v>
      </c>
      <c r="AE187" s="23">
        <f t="shared" si="64"/>
        <v>1129.04273563218</v>
      </c>
      <c r="AF187" s="27">
        <f>(1/(2*LOG(3.7*$I187/'Calculation Constants'!$B$4*1000)))^2</f>
        <v>1.1575055557914658E-2</v>
      </c>
      <c r="AG187" s="19">
        <f t="shared" si="65"/>
        <v>1.6876908272744866</v>
      </c>
      <c r="AH187" s="19">
        <f>IF($H187&gt;0,'Calculation Constants'!$B$9*Hydraulics!$K187^2/2/9.81/MAX($F$4:$F$253)*$H187,"")</f>
        <v>7.8734226558858159E-2</v>
      </c>
      <c r="AI187" s="19">
        <f t="shared" si="75"/>
        <v>1.7664250538333448</v>
      </c>
      <c r="AJ187" s="19">
        <f t="shared" si="66"/>
        <v>0</v>
      </c>
      <c r="AK187" s="19">
        <f t="shared" si="76"/>
        <v>71.719266673905167</v>
      </c>
      <c r="AL187" s="23">
        <f t="shared" si="67"/>
        <v>1119.9852666739052</v>
      </c>
      <c r="AM187" s="22">
        <f>(1/(2*LOG(3.7*($I187-0.008)/'Calculation Constants'!$B$5*1000)))^2</f>
        <v>1.4709705891825043E-2</v>
      </c>
      <c r="AN187" s="19">
        <f t="shared" si="77"/>
        <v>2.1543104841910781</v>
      </c>
      <c r="AO187" s="19">
        <f>IF($H187&gt;0,'Calculation Constants'!$B$9*Hydraulics!$K187^2/2/9.81/MAX($F$4:$F$253)*$H187,"")</f>
        <v>7.8734226558858159E-2</v>
      </c>
      <c r="AP187" s="19">
        <f t="shared" si="78"/>
        <v>2.2330447107499363</v>
      </c>
      <c r="AQ187" s="19">
        <f t="shared" si="68"/>
        <v>0</v>
      </c>
      <c r="AR187" s="19">
        <f t="shared" si="79"/>
        <v>55.277621681303572</v>
      </c>
      <c r="AS187" s="23">
        <f t="shared" si="69"/>
        <v>1103.5436216813036</v>
      </c>
    </row>
    <row r="188" spans="5:45">
      <c r="E188" s="35" t="str">
        <f t="shared" si="55"/>
        <v/>
      </c>
      <c r="F188" s="19">
        <f>'Profile data'!A188</f>
        <v>370</v>
      </c>
      <c r="G188" s="19">
        <f>VLOOKUP(F188,'Profile data'!A188:C447,IF($B$22="Botswana 1",2,3))</f>
        <v>1040.172</v>
      </c>
      <c r="H188" s="19">
        <f t="shared" si="80"/>
        <v>2</v>
      </c>
      <c r="I188" s="19">
        <v>1.8</v>
      </c>
      <c r="J188" s="36">
        <f>'Flow Rate Calculations'!$B$7</f>
        <v>4.0831050228310497</v>
      </c>
      <c r="K188" s="36">
        <f t="shared" si="70"/>
        <v>1.6045588828318709</v>
      </c>
      <c r="L188" s="37">
        <f>$I188*$K188/'Calculation Constants'!$B$7</f>
        <v>2555934.503625989</v>
      </c>
      <c r="M188" s="37" t="str">
        <f t="shared" si="56"/>
        <v>Greater Dynamic Pressures</v>
      </c>
      <c r="N188" s="23">
        <f t="shared" si="71"/>
        <v>93.077867288248171</v>
      </c>
      <c r="O188" s="55">
        <f t="shared" si="57"/>
        <v>87.360038168786787</v>
      </c>
      <c r="P188" s="64">
        <f>MAX(I188*1000/'Calculation Constants'!$B$14,O188*10*I188*1000/2/('Calculation Constants'!$B$12*1000*'Calculation Constants'!$B$13))</f>
        <v>11.25</v>
      </c>
      <c r="Q188" s="66">
        <f t="shared" si="58"/>
        <v>992548.40161508287</v>
      </c>
      <c r="R188" s="27">
        <f>(1/(2*LOG(3.7*$I188/'Calculation Constants'!$B$2*1000)))^2</f>
        <v>8.7463077071963571E-3</v>
      </c>
      <c r="S188" s="19">
        <f t="shared" si="72"/>
        <v>1.2752477269849725</v>
      </c>
      <c r="T188" s="19">
        <f>IF($H188&gt;0,'Calculation Constants'!$B$9*Hydraulics!$K188^2/2/9.81/MAX($F$4:$F$253)*$H188,"")</f>
        <v>7.8734226558858159E-2</v>
      </c>
      <c r="U188" s="19">
        <f t="shared" si="73"/>
        <v>1.3539819535438307</v>
      </c>
      <c r="V188" s="19">
        <f t="shared" si="59"/>
        <v>0</v>
      </c>
      <c r="W188" s="19">
        <f t="shared" si="60"/>
        <v>93.077867288248171</v>
      </c>
      <c r="X188" s="23">
        <f t="shared" si="61"/>
        <v>1133.2498672882482</v>
      </c>
      <c r="Y188" s="22">
        <f>(1/(2*LOG(3.7*$I188/'Calculation Constants'!$B$3*1000)))^2</f>
        <v>9.8211436332891755E-3</v>
      </c>
      <c r="Z188" s="19">
        <f t="shared" si="62"/>
        <v>1.431963236834217</v>
      </c>
      <c r="AA188" s="19">
        <f>IF($H188&gt;0,'Calculation Constants'!$B$9*Hydraulics!$K188^2/2/9.81/MAX($F$4:$F$253)*$H188,"")</f>
        <v>7.8734226558858159E-2</v>
      </c>
      <c r="AB188" s="19">
        <f t="shared" si="81"/>
        <v>1.5106974633930752</v>
      </c>
      <c r="AC188" s="19">
        <f t="shared" si="63"/>
        <v>0</v>
      </c>
      <c r="AD188" s="19">
        <f t="shared" si="74"/>
        <v>87.360038168786787</v>
      </c>
      <c r="AE188" s="23">
        <f t="shared" si="64"/>
        <v>1127.5320381687868</v>
      </c>
      <c r="AF188" s="27">
        <f>(1/(2*LOG(3.7*$I188/'Calculation Constants'!$B$4*1000)))^2</f>
        <v>1.1575055557914658E-2</v>
      </c>
      <c r="AG188" s="19">
        <f t="shared" si="65"/>
        <v>1.6876908272744866</v>
      </c>
      <c r="AH188" s="19">
        <f>IF($H188&gt;0,'Calculation Constants'!$B$9*Hydraulics!$K188^2/2/9.81/MAX($F$4:$F$253)*$H188,"")</f>
        <v>7.8734226558858159E-2</v>
      </c>
      <c r="AI188" s="19">
        <f t="shared" si="75"/>
        <v>1.7664250538333448</v>
      </c>
      <c r="AJ188" s="19">
        <f t="shared" si="66"/>
        <v>0</v>
      </c>
      <c r="AK188" s="19">
        <f t="shared" si="76"/>
        <v>78.046841620071973</v>
      </c>
      <c r="AL188" s="23">
        <f t="shared" si="67"/>
        <v>1118.218841620072</v>
      </c>
      <c r="AM188" s="22">
        <f>(1/(2*LOG(3.7*($I188-0.008)/'Calculation Constants'!$B$5*1000)))^2</f>
        <v>1.4709705891825043E-2</v>
      </c>
      <c r="AN188" s="19">
        <f t="shared" si="77"/>
        <v>2.1543104841910781</v>
      </c>
      <c r="AO188" s="19">
        <f>IF($H188&gt;0,'Calculation Constants'!$B$9*Hydraulics!$K188^2/2/9.81/MAX($F$4:$F$253)*$H188,"")</f>
        <v>7.8734226558858159E-2</v>
      </c>
      <c r="AP188" s="19">
        <f t="shared" si="78"/>
        <v>2.2330447107499363</v>
      </c>
      <c r="AQ188" s="19">
        <f t="shared" si="68"/>
        <v>0</v>
      </c>
      <c r="AR188" s="19">
        <f t="shared" si="79"/>
        <v>61.138576970553686</v>
      </c>
      <c r="AS188" s="23">
        <f t="shared" si="69"/>
        <v>1101.3105769705537</v>
      </c>
    </row>
    <row r="189" spans="5:45">
      <c r="E189" s="35" t="str">
        <f t="shared" si="55"/>
        <v/>
      </c>
      <c r="F189" s="19">
        <f>'Profile data'!A189</f>
        <v>372</v>
      </c>
      <c r="G189" s="19">
        <f>VLOOKUP(F189,'Profile data'!A189:C448,IF($B$22="Botswana 1",2,3))</f>
        <v>1033.4829999999999</v>
      </c>
      <c r="H189" s="19">
        <f t="shared" si="80"/>
        <v>2</v>
      </c>
      <c r="I189" s="19">
        <v>1.8</v>
      </c>
      <c r="J189" s="36">
        <f>'Flow Rate Calculations'!$B$7</f>
        <v>4.0831050228310497</v>
      </c>
      <c r="K189" s="36">
        <f t="shared" si="70"/>
        <v>1.6045588828318709</v>
      </c>
      <c r="L189" s="37">
        <f>$I189*$K189/'Calculation Constants'!$B$7</f>
        <v>2555934.503625989</v>
      </c>
      <c r="M189" s="37" t="str">
        <f t="shared" si="56"/>
        <v>Greater Dynamic Pressures</v>
      </c>
      <c r="N189" s="23">
        <f t="shared" si="71"/>
        <v>98.41288533470447</v>
      </c>
      <c r="O189" s="55">
        <f t="shared" si="57"/>
        <v>92.538340705393693</v>
      </c>
      <c r="P189" s="64">
        <f>MAX(I189*1000/'Calculation Constants'!$B$14,O189*10*I189*1000/2/('Calculation Constants'!$B$12*1000*'Calculation Constants'!$B$13))</f>
        <v>11.25</v>
      </c>
      <c r="Q189" s="66">
        <f t="shared" si="58"/>
        <v>992548.40161508287</v>
      </c>
      <c r="R189" s="27">
        <f>(1/(2*LOG(3.7*$I189/'Calculation Constants'!$B$2*1000)))^2</f>
        <v>8.7463077071963571E-3</v>
      </c>
      <c r="S189" s="19">
        <f t="shared" si="72"/>
        <v>1.2752477269849725</v>
      </c>
      <c r="T189" s="19">
        <f>IF($H189&gt;0,'Calculation Constants'!$B$9*Hydraulics!$K189^2/2/9.81/MAX($F$4:$F$253)*$H189,"")</f>
        <v>7.8734226558858159E-2</v>
      </c>
      <c r="U189" s="19">
        <f t="shared" si="73"/>
        <v>1.3539819535438307</v>
      </c>
      <c r="V189" s="19">
        <f t="shared" si="59"/>
        <v>0</v>
      </c>
      <c r="W189" s="19">
        <f t="shared" si="60"/>
        <v>98.41288533470447</v>
      </c>
      <c r="X189" s="23">
        <f t="shared" si="61"/>
        <v>1131.8958853347044</v>
      </c>
      <c r="Y189" s="22">
        <f>(1/(2*LOG(3.7*$I189/'Calculation Constants'!$B$3*1000)))^2</f>
        <v>9.8211436332891755E-3</v>
      </c>
      <c r="Z189" s="19">
        <f t="shared" si="62"/>
        <v>1.431963236834217</v>
      </c>
      <c r="AA189" s="19">
        <f>IF($H189&gt;0,'Calculation Constants'!$B$9*Hydraulics!$K189^2/2/9.81/MAX($F$4:$F$253)*$H189,"")</f>
        <v>7.8734226558858159E-2</v>
      </c>
      <c r="AB189" s="19">
        <f t="shared" si="81"/>
        <v>1.5106974633930752</v>
      </c>
      <c r="AC189" s="19">
        <f t="shared" si="63"/>
        <v>0</v>
      </c>
      <c r="AD189" s="19">
        <f t="shared" si="74"/>
        <v>92.538340705393693</v>
      </c>
      <c r="AE189" s="23">
        <f t="shared" si="64"/>
        <v>1126.0213407053936</v>
      </c>
      <c r="AF189" s="27">
        <f>(1/(2*LOG(3.7*$I189/'Calculation Constants'!$B$4*1000)))^2</f>
        <v>1.1575055557914658E-2</v>
      </c>
      <c r="AG189" s="19">
        <f t="shared" si="65"/>
        <v>1.6876908272744866</v>
      </c>
      <c r="AH189" s="19">
        <f>IF($H189&gt;0,'Calculation Constants'!$B$9*Hydraulics!$K189^2/2/9.81/MAX($F$4:$F$253)*$H189,"")</f>
        <v>7.8734226558858159E-2</v>
      </c>
      <c r="AI189" s="19">
        <f t="shared" si="75"/>
        <v>1.7664250538333448</v>
      </c>
      <c r="AJ189" s="19">
        <f t="shared" si="66"/>
        <v>0</v>
      </c>
      <c r="AK189" s="19">
        <f t="shared" si="76"/>
        <v>82.969416566238806</v>
      </c>
      <c r="AL189" s="23">
        <f t="shared" si="67"/>
        <v>1116.4524165662388</v>
      </c>
      <c r="AM189" s="22">
        <f>(1/(2*LOG(3.7*($I189-0.008)/'Calculation Constants'!$B$5*1000)))^2</f>
        <v>1.4709705891825043E-2</v>
      </c>
      <c r="AN189" s="19">
        <f t="shared" si="77"/>
        <v>2.1543104841910781</v>
      </c>
      <c r="AO189" s="19">
        <f>IF($H189&gt;0,'Calculation Constants'!$B$9*Hydraulics!$K189^2/2/9.81/MAX($F$4:$F$253)*$H189,"")</f>
        <v>7.8734226558858159E-2</v>
      </c>
      <c r="AP189" s="19">
        <f t="shared" si="78"/>
        <v>2.2330447107499363</v>
      </c>
      <c r="AQ189" s="19">
        <f t="shared" si="68"/>
        <v>0</v>
      </c>
      <c r="AR189" s="19">
        <f t="shared" si="79"/>
        <v>65.594532259803827</v>
      </c>
      <c r="AS189" s="23">
        <f t="shared" si="69"/>
        <v>1099.0775322598038</v>
      </c>
    </row>
    <row r="190" spans="5:45">
      <c r="E190" s="35" t="str">
        <f t="shared" si="55"/>
        <v/>
      </c>
      <c r="F190" s="19">
        <f>'Profile data'!A190</f>
        <v>374</v>
      </c>
      <c r="G190" s="19">
        <f>VLOOKUP(F190,'Profile data'!A190:C449,IF($B$22="Botswana 1",2,3))</f>
        <v>1030.95</v>
      </c>
      <c r="H190" s="19">
        <f t="shared" si="80"/>
        <v>2</v>
      </c>
      <c r="I190" s="19">
        <v>1.8</v>
      </c>
      <c r="J190" s="36">
        <f>'Flow Rate Calculations'!$B$7</f>
        <v>4.0831050228310497</v>
      </c>
      <c r="K190" s="36">
        <f t="shared" si="70"/>
        <v>1.6045588828318709</v>
      </c>
      <c r="L190" s="37">
        <f>$I190*$K190/'Calculation Constants'!$B$7</f>
        <v>2555934.503625989</v>
      </c>
      <c r="M190" s="37" t="str">
        <f t="shared" si="56"/>
        <v>Greater Dynamic Pressures</v>
      </c>
      <c r="N190" s="23">
        <f t="shared" si="71"/>
        <v>99.591903381160591</v>
      </c>
      <c r="O190" s="55">
        <f t="shared" si="57"/>
        <v>93.560643242000424</v>
      </c>
      <c r="P190" s="64">
        <f>MAX(I190*1000/'Calculation Constants'!$B$14,O190*10*I190*1000/2/('Calculation Constants'!$B$12*1000*'Calculation Constants'!$B$13))</f>
        <v>11.25</v>
      </c>
      <c r="Q190" s="66">
        <f t="shared" si="58"/>
        <v>992548.40161508287</v>
      </c>
      <c r="R190" s="27">
        <f>(1/(2*LOG(3.7*$I190/'Calculation Constants'!$B$2*1000)))^2</f>
        <v>8.7463077071963571E-3</v>
      </c>
      <c r="S190" s="19">
        <f t="shared" si="72"/>
        <v>1.2752477269849725</v>
      </c>
      <c r="T190" s="19">
        <f>IF($H190&gt;0,'Calculation Constants'!$B$9*Hydraulics!$K190^2/2/9.81/MAX($F$4:$F$253)*$H190,"")</f>
        <v>7.8734226558858159E-2</v>
      </c>
      <c r="U190" s="19">
        <f t="shared" si="73"/>
        <v>1.3539819535438307</v>
      </c>
      <c r="V190" s="19">
        <f t="shared" si="59"/>
        <v>0</v>
      </c>
      <c r="W190" s="19">
        <f t="shared" si="60"/>
        <v>99.591903381160591</v>
      </c>
      <c r="X190" s="23">
        <f t="shared" si="61"/>
        <v>1130.5419033811606</v>
      </c>
      <c r="Y190" s="22">
        <f>(1/(2*LOG(3.7*$I190/'Calculation Constants'!$B$3*1000)))^2</f>
        <v>9.8211436332891755E-3</v>
      </c>
      <c r="Z190" s="19">
        <f t="shared" si="62"/>
        <v>1.431963236834217</v>
      </c>
      <c r="AA190" s="19">
        <f>IF($H190&gt;0,'Calculation Constants'!$B$9*Hydraulics!$K190^2/2/9.81/MAX($F$4:$F$253)*$H190,"")</f>
        <v>7.8734226558858159E-2</v>
      </c>
      <c r="AB190" s="19">
        <f t="shared" si="81"/>
        <v>1.5106974633930752</v>
      </c>
      <c r="AC190" s="19">
        <f t="shared" si="63"/>
        <v>0</v>
      </c>
      <c r="AD190" s="19">
        <f t="shared" si="74"/>
        <v>93.560643242000424</v>
      </c>
      <c r="AE190" s="23">
        <f t="shared" si="64"/>
        <v>1124.5106432420005</v>
      </c>
      <c r="AF190" s="27">
        <f>(1/(2*LOG(3.7*$I190/'Calculation Constants'!$B$4*1000)))^2</f>
        <v>1.1575055557914658E-2</v>
      </c>
      <c r="AG190" s="19">
        <f t="shared" si="65"/>
        <v>1.6876908272744866</v>
      </c>
      <c r="AH190" s="19">
        <f>IF($H190&gt;0,'Calculation Constants'!$B$9*Hydraulics!$K190^2/2/9.81/MAX($F$4:$F$253)*$H190,"")</f>
        <v>7.8734226558858159E-2</v>
      </c>
      <c r="AI190" s="19">
        <f t="shared" si="75"/>
        <v>1.7664250538333448</v>
      </c>
      <c r="AJ190" s="19">
        <f t="shared" si="66"/>
        <v>0</v>
      </c>
      <c r="AK190" s="19">
        <f t="shared" si="76"/>
        <v>83.735991512405462</v>
      </c>
      <c r="AL190" s="23">
        <f t="shared" si="67"/>
        <v>1114.6859915124055</v>
      </c>
      <c r="AM190" s="22">
        <f>(1/(2*LOG(3.7*($I190-0.008)/'Calculation Constants'!$B$5*1000)))^2</f>
        <v>1.4709705891825043E-2</v>
      </c>
      <c r="AN190" s="19">
        <f t="shared" si="77"/>
        <v>2.1543104841910781</v>
      </c>
      <c r="AO190" s="19">
        <f>IF($H190&gt;0,'Calculation Constants'!$B$9*Hydraulics!$K190^2/2/9.81/MAX($F$4:$F$253)*$H190,"")</f>
        <v>7.8734226558858159E-2</v>
      </c>
      <c r="AP190" s="19">
        <f t="shared" si="78"/>
        <v>2.2330447107499363</v>
      </c>
      <c r="AQ190" s="19">
        <f t="shared" si="68"/>
        <v>0</v>
      </c>
      <c r="AR190" s="19">
        <f t="shared" si="79"/>
        <v>65.894487549053792</v>
      </c>
      <c r="AS190" s="23">
        <f t="shared" si="69"/>
        <v>1096.8444875490538</v>
      </c>
    </row>
    <row r="191" spans="5:45">
      <c r="E191" s="35" t="str">
        <f t="shared" si="55"/>
        <v/>
      </c>
      <c r="F191" s="19">
        <f>'Profile data'!A191</f>
        <v>376</v>
      </c>
      <c r="G191" s="19">
        <f>VLOOKUP(F191,'Profile data'!A191:C450,IF($B$22="Botswana 1",2,3))</f>
        <v>1032.2629999999999</v>
      </c>
      <c r="H191" s="19">
        <f t="shared" si="80"/>
        <v>2</v>
      </c>
      <c r="I191" s="19">
        <v>1.8</v>
      </c>
      <c r="J191" s="36">
        <f>'Flow Rate Calculations'!$B$7</f>
        <v>4.0831050228310497</v>
      </c>
      <c r="K191" s="36">
        <f t="shared" si="70"/>
        <v>1.6045588828318709</v>
      </c>
      <c r="L191" s="37">
        <f>$I191*$K191/'Calculation Constants'!$B$7</f>
        <v>2555934.503625989</v>
      </c>
      <c r="M191" s="37" t="str">
        <f t="shared" si="56"/>
        <v>Greater Dynamic Pressures</v>
      </c>
      <c r="N191" s="23">
        <f t="shared" si="71"/>
        <v>96.924921427616937</v>
      </c>
      <c r="O191" s="55">
        <f t="shared" si="57"/>
        <v>90.736945778607378</v>
      </c>
      <c r="P191" s="64">
        <f>MAX(I191*1000/'Calculation Constants'!$B$14,O191*10*I191*1000/2/('Calculation Constants'!$B$12*1000*'Calculation Constants'!$B$13))</f>
        <v>11.25</v>
      </c>
      <c r="Q191" s="66">
        <f t="shared" si="58"/>
        <v>992548.40161508287</v>
      </c>
      <c r="R191" s="27">
        <f>(1/(2*LOG(3.7*$I191/'Calculation Constants'!$B$2*1000)))^2</f>
        <v>8.7463077071963571E-3</v>
      </c>
      <c r="S191" s="19">
        <f t="shared" si="72"/>
        <v>1.2752477269849725</v>
      </c>
      <c r="T191" s="19">
        <f>IF($H191&gt;0,'Calculation Constants'!$B$9*Hydraulics!$K191^2/2/9.81/MAX($F$4:$F$253)*$H191,"")</f>
        <v>7.8734226558858159E-2</v>
      </c>
      <c r="U191" s="19">
        <f t="shared" si="73"/>
        <v>1.3539819535438307</v>
      </c>
      <c r="V191" s="19">
        <f t="shared" si="59"/>
        <v>0</v>
      </c>
      <c r="W191" s="19">
        <f t="shared" si="60"/>
        <v>96.924921427616937</v>
      </c>
      <c r="X191" s="23">
        <f t="shared" si="61"/>
        <v>1129.1879214276169</v>
      </c>
      <c r="Y191" s="22">
        <f>(1/(2*LOG(3.7*$I191/'Calculation Constants'!$B$3*1000)))^2</f>
        <v>9.8211436332891755E-3</v>
      </c>
      <c r="Z191" s="19">
        <f t="shared" si="62"/>
        <v>1.431963236834217</v>
      </c>
      <c r="AA191" s="19">
        <f>IF($H191&gt;0,'Calculation Constants'!$B$9*Hydraulics!$K191^2/2/9.81/MAX($F$4:$F$253)*$H191,"")</f>
        <v>7.8734226558858159E-2</v>
      </c>
      <c r="AB191" s="19">
        <f t="shared" si="81"/>
        <v>1.5106974633930752</v>
      </c>
      <c r="AC191" s="19">
        <f t="shared" si="63"/>
        <v>0</v>
      </c>
      <c r="AD191" s="19">
        <f t="shared" si="74"/>
        <v>90.736945778607378</v>
      </c>
      <c r="AE191" s="23">
        <f t="shared" si="64"/>
        <v>1122.9999457786073</v>
      </c>
      <c r="AF191" s="27">
        <f>(1/(2*LOG(3.7*$I191/'Calculation Constants'!$B$4*1000)))^2</f>
        <v>1.1575055557914658E-2</v>
      </c>
      <c r="AG191" s="19">
        <f t="shared" si="65"/>
        <v>1.6876908272744866</v>
      </c>
      <c r="AH191" s="19">
        <f>IF($H191&gt;0,'Calculation Constants'!$B$9*Hydraulics!$K191^2/2/9.81/MAX($F$4:$F$253)*$H191,"")</f>
        <v>7.8734226558858159E-2</v>
      </c>
      <c r="AI191" s="19">
        <f t="shared" si="75"/>
        <v>1.7664250538333448</v>
      </c>
      <c r="AJ191" s="19">
        <f t="shared" si="66"/>
        <v>0</v>
      </c>
      <c r="AK191" s="19">
        <f t="shared" si="76"/>
        <v>80.656566458572343</v>
      </c>
      <c r="AL191" s="23">
        <f t="shared" si="67"/>
        <v>1112.9195664585723</v>
      </c>
      <c r="AM191" s="22">
        <f>(1/(2*LOG(3.7*($I191-0.008)/'Calculation Constants'!$B$5*1000)))^2</f>
        <v>1.4709705891825043E-2</v>
      </c>
      <c r="AN191" s="19">
        <f t="shared" si="77"/>
        <v>2.1543104841910781</v>
      </c>
      <c r="AO191" s="19">
        <f>IF($H191&gt;0,'Calculation Constants'!$B$9*Hydraulics!$K191^2/2/9.81/MAX($F$4:$F$253)*$H191,"")</f>
        <v>7.8734226558858159E-2</v>
      </c>
      <c r="AP191" s="19">
        <f t="shared" si="78"/>
        <v>2.2330447107499363</v>
      </c>
      <c r="AQ191" s="19">
        <f t="shared" si="68"/>
        <v>0</v>
      </c>
      <c r="AR191" s="19">
        <f t="shared" si="79"/>
        <v>62.348442838303981</v>
      </c>
      <c r="AS191" s="23">
        <f t="shared" si="69"/>
        <v>1094.6114428383039</v>
      </c>
    </row>
    <row r="192" spans="5:45">
      <c r="E192" s="35" t="str">
        <f t="shared" si="55"/>
        <v/>
      </c>
      <c r="F192" s="19">
        <f>'Profile data'!A192</f>
        <v>378</v>
      </c>
      <c r="G192" s="19">
        <f>VLOOKUP(F192,'Profile data'!A192:C451,IF($B$22="Botswana 1",2,3))</f>
        <v>1031.3910000000001</v>
      </c>
      <c r="H192" s="19">
        <f t="shared" si="80"/>
        <v>2</v>
      </c>
      <c r="I192" s="19">
        <v>1.8</v>
      </c>
      <c r="J192" s="36">
        <f>'Flow Rate Calculations'!$B$7</f>
        <v>4.0831050228310497</v>
      </c>
      <c r="K192" s="36">
        <f t="shared" si="70"/>
        <v>1.6045588828318709</v>
      </c>
      <c r="L192" s="37">
        <f>$I192*$K192/'Calculation Constants'!$B$7</f>
        <v>2555934.503625989</v>
      </c>
      <c r="M192" s="37" t="str">
        <f t="shared" si="56"/>
        <v>Greater Dynamic Pressures</v>
      </c>
      <c r="N192" s="23">
        <f t="shared" si="71"/>
        <v>96.442939474073</v>
      </c>
      <c r="O192" s="55">
        <f t="shared" si="57"/>
        <v>90.09824831521405</v>
      </c>
      <c r="P192" s="64">
        <f>MAX(I192*1000/'Calculation Constants'!$B$14,O192*10*I192*1000/2/('Calculation Constants'!$B$12*1000*'Calculation Constants'!$B$13))</f>
        <v>11.25</v>
      </c>
      <c r="Q192" s="66">
        <f t="shared" si="58"/>
        <v>992548.40161508287</v>
      </c>
      <c r="R192" s="27">
        <f>(1/(2*LOG(3.7*$I192/'Calculation Constants'!$B$2*1000)))^2</f>
        <v>8.7463077071963571E-3</v>
      </c>
      <c r="S192" s="19">
        <f t="shared" si="72"/>
        <v>1.2752477269849725</v>
      </c>
      <c r="T192" s="19">
        <f>IF($H192&gt;0,'Calculation Constants'!$B$9*Hydraulics!$K192^2/2/9.81/MAX($F$4:$F$253)*$H192,"")</f>
        <v>7.8734226558858159E-2</v>
      </c>
      <c r="U192" s="19">
        <f t="shared" si="73"/>
        <v>1.3539819535438307</v>
      </c>
      <c r="V192" s="19">
        <f t="shared" si="59"/>
        <v>0</v>
      </c>
      <c r="W192" s="19">
        <f t="shared" si="60"/>
        <v>96.442939474073</v>
      </c>
      <c r="X192" s="23">
        <f t="shared" si="61"/>
        <v>1127.8339394740731</v>
      </c>
      <c r="Y192" s="22">
        <f>(1/(2*LOG(3.7*$I192/'Calculation Constants'!$B$3*1000)))^2</f>
        <v>9.8211436332891755E-3</v>
      </c>
      <c r="Z192" s="19">
        <f t="shared" si="62"/>
        <v>1.431963236834217</v>
      </c>
      <c r="AA192" s="19">
        <f>IF($H192&gt;0,'Calculation Constants'!$B$9*Hydraulics!$K192^2/2/9.81/MAX($F$4:$F$253)*$H192,"")</f>
        <v>7.8734226558858159E-2</v>
      </c>
      <c r="AB192" s="19">
        <f t="shared" si="81"/>
        <v>1.5106974633930752</v>
      </c>
      <c r="AC192" s="19">
        <f t="shared" si="63"/>
        <v>0</v>
      </c>
      <c r="AD192" s="19">
        <f t="shared" si="74"/>
        <v>90.09824831521405</v>
      </c>
      <c r="AE192" s="23">
        <f t="shared" si="64"/>
        <v>1121.4892483152141</v>
      </c>
      <c r="AF192" s="27">
        <f>(1/(2*LOG(3.7*$I192/'Calculation Constants'!$B$4*1000)))^2</f>
        <v>1.1575055557914658E-2</v>
      </c>
      <c r="AG192" s="19">
        <f t="shared" si="65"/>
        <v>1.6876908272744866</v>
      </c>
      <c r="AH192" s="19">
        <f>IF($H192&gt;0,'Calculation Constants'!$B$9*Hydraulics!$K192^2/2/9.81/MAX($F$4:$F$253)*$H192,"")</f>
        <v>7.8734226558858159E-2</v>
      </c>
      <c r="AI192" s="19">
        <f t="shared" si="75"/>
        <v>1.7664250538333448</v>
      </c>
      <c r="AJ192" s="19">
        <f t="shared" si="66"/>
        <v>0</v>
      </c>
      <c r="AK192" s="19">
        <f t="shared" si="76"/>
        <v>79.762141404738941</v>
      </c>
      <c r="AL192" s="23">
        <f t="shared" si="67"/>
        <v>1111.153141404739</v>
      </c>
      <c r="AM192" s="22">
        <f>(1/(2*LOG(3.7*($I192-0.008)/'Calculation Constants'!$B$5*1000)))^2</f>
        <v>1.4709705891825043E-2</v>
      </c>
      <c r="AN192" s="19">
        <f t="shared" si="77"/>
        <v>2.1543104841910781</v>
      </c>
      <c r="AO192" s="19">
        <f>IF($H192&gt;0,'Calculation Constants'!$B$9*Hydraulics!$K192^2/2/9.81/MAX($F$4:$F$253)*$H192,"")</f>
        <v>7.8734226558858159E-2</v>
      </c>
      <c r="AP192" s="19">
        <f t="shared" si="78"/>
        <v>2.2330447107499363</v>
      </c>
      <c r="AQ192" s="19">
        <f t="shared" si="68"/>
        <v>0</v>
      </c>
      <c r="AR192" s="19">
        <f t="shared" si="79"/>
        <v>60.987398127553888</v>
      </c>
      <c r="AS192" s="23">
        <f t="shared" si="69"/>
        <v>1092.378398127554</v>
      </c>
    </row>
    <row r="193" spans="5:45">
      <c r="E193" s="35" t="str">
        <f t="shared" si="55"/>
        <v/>
      </c>
      <c r="F193" s="19">
        <f>'Profile data'!A193</f>
        <v>380</v>
      </c>
      <c r="G193" s="19">
        <f>VLOOKUP(F193,'Profile data'!A193:C452,IF($B$22="Botswana 1",2,3))</f>
        <v>1025.7909999999999</v>
      </c>
      <c r="H193" s="19">
        <f t="shared" si="80"/>
        <v>2</v>
      </c>
      <c r="I193" s="19">
        <v>1.8</v>
      </c>
      <c r="J193" s="36">
        <f>'Flow Rate Calculations'!$B$7</f>
        <v>4.0831050228310497</v>
      </c>
      <c r="K193" s="36">
        <f t="shared" si="70"/>
        <v>1.6045588828318709</v>
      </c>
      <c r="L193" s="37">
        <f>$I193*$K193/'Calculation Constants'!$B$7</f>
        <v>2555934.503625989</v>
      </c>
      <c r="M193" s="37" t="str">
        <f t="shared" si="56"/>
        <v>Greater Dynamic Pressures</v>
      </c>
      <c r="N193" s="23">
        <f t="shared" si="71"/>
        <v>100.68895752052936</v>
      </c>
      <c r="O193" s="55">
        <f t="shared" si="57"/>
        <v>94.187550851821015</v>
      </c>
      <c r="P193" s="64">
        <f>MAX(I193*1000/'Calculation Constants'!$B$14,O193*10*I193*1000/2/('Calculation Constants'!$B$12*1000*'Calculation Constants'!$B$13))</f>
        <v>11.25</v>
      </c>
      <c r="Q193" s="66">
        <f t="shared" si="58"/>
        <v>992548.40161508287</v>
      </c>
      <c r="R193" s="27">
        <f>(1/(2*LOG(3.7*$I193/'Calculation Constants'!$B$2*1000)))^2</f>
        <v>8.7463077071963571E-3</v>
      </c>
      <c r="S193" s="19">
        <f t="shared" si="72"/>
        <v>1.2752477269849725</v>
      </c>
      <c r="T193" s="19">
        <f>IF($H193&gt;0,'Calculation Constants'!$B$9*Hydraulics!$K193^2/2/9.81/MAX($F$4:$F$253)*$H193,"")</f>
        <v>7.8734226558858159E-2</v>
      </c>
      <c r="U193" s="19">
        <f t="shared" si="73"/>
        <v>1.3539819535438307</v>
      </c>
      <c r="V193" s="19">
        <f t="shared" si="59"/>
        <v>0</v>
      </c>
      <c r="W193" s="19">
        <f t="shared" si="60"/>
        <v>100.68895752052936</v>
      </c>
      <c r="X193" s="23">
        <f t="shared" si="61"/>
        <v>1126.4799575205293</v>
      </c>
      <c r="Y193" s="22">
        <f>(1/(2*LOG(3.7*$I193/'Calculation Constants'!$B$3*1000)))^2</f>
        <v>9.8211436332891755E-3</v>
      </c>
      <c r="Z193" s="19">
        <f t="shared" si="62"/>
        <v>1.431963236834217</v>
      </c>
      <c r="AA193" s="19">
        <f>IF($H193&gt;0,'Calculation Constants'!$B$9*Hydraulics!$K193^2/2/9.81/MAX($F$4:$F$253)*$H193,"")</f>
        <v>7.8734226558858159E-2</v>
      </c>
      <c r="AB193" s="19">
        <f t="shared" si="81"/>
        <v>1.5106974633930752</v>
      </c>
      <c r="AC193" s="19">
        <f t="shared" si="63"/>
        <v>0</v>
      </c>
      <c r="AD193" s="19">
        <f t="shared" si="74"/>
        <v>94.187550851821015</v>
      </c>
      <c r="AE193" s="23">
        <f t="shared" si="64"/>
        <v>1119.978550851821</v>
      </c>
      <c r="AF193" s="27">
        <f>(1/(2*LOG(3.7*$I193/'Calculation Constants'!$B$4*1000)))^2</f>
        <v>1.1575055557914658E-2</v>
      </c>
      <c r="AG193" s="19">
        <f t="shared" si="65"/>
        <v>1.6876908272744866</v>
      </c>
      <c r="AH193" s="19">
        <f>IF($H193&gt;0,'Calculation Constants'!$B$9*Hydraulics!$K193^2/2/9.81/MAX($F$4:$F$253)*$H193,"")</f>
        <v>7.8734226558858159E-2</v>
      </c>
      <c r="AI193" s="19">
        <f t="shared" si="75"/>
        <v>1.7664250538333448</v>
      </c>
      <c r="AJ193" s="19">
        <f t="shared" si="66"/>
        <v>0</v>
      </c>
      <c r="AK193" s="19">
        <f t="shared" si="76"/>
        <v>83.595716350905832</v>
      </c>
      <c r="AL193" s="23">
        <f t="shared" si="67"/>
        <v>1109.3867163509058</v>
      </c>
      <c r="AM193" s="22">
        <f>(1/(2*LOG(3.7*($I193-0.008)/'Calculation Constants'!$B$5*1000)))^2</f>
        <v>1.4709705891825043E-2</v>
      </c>
      <c r="AN193" s="19">
        <f t="shared" si="77"/>
        <v>2.1543104841910781</v>
      </c>
      <c r="AO193" s="19">
        <f>IF($H193&gt;0,'Calculation Constants'!$B$9*Hydraulics!$K193^2/2/9.81/MAX($F$4:$F$253)*$H193,"")</f>
        <v>7.8734226558858159E-2</v>
      </c>
      <c r="AP193" s="19">
        <f t="shared" si="78"/>
        <v>2.2330447107499363</v>
      </c>
      <c r="AQ193" s="19">
        <f t="shared" si="68"/>
        <v>0</v>
      </c>
      <c r="AR193" s="19">
        <f t="shared" si="79"/>
        <v>64.354353416804088</v>
      </c>
      <c r="AS193" s="23">
        <f t="shared" si="69"/>
        <v>1090.145353416804</v>
      </c>
    </row>
    <row r="194" spans="5:45">
      <c r="E194" s="35" t="str">
        <f t="shared" si="55"/>
        <v/>
      </c>
      <c r="F194" s="19">
        <f>'Profile data'!A194</f>
        <v>382</v>
      </c>
      <c r="G194" s="19">
        <f>VLOOKUP(F194,'Profile data'!A194:C453,IF($B$22="Botswana 1",2,3))</f>
        <v>1020.9109999999999</v>
      </c>
      <c r="H194" s="19">
        <f t="shared" si="80"/>
        <v>2</v>
      </c>
      <c r="I194" s="19">
        <v>1.8</v>
      </c>
      <c r="J194" s="36">
        <f>'Flow Rate Calculations'!$B$7</f>
        <v>4.0831050228310497</v>
      </c>
      <c r="K194" s="36">
        <f t="shared" si="70"/>
        <v>1.6045588828318709</v>
      </c>
      <c r="L194" s="37">
        <f>$I194*$K194/'Calculation Constants'!$B$7</f>
        <v>2555934.503625989</v>
      </c>
      <c r="M194" s="37" t="str">
        <f t="shared" si="56"/>
        <v>Greater Dynamic Pressures</v>
      </c>
      <c r="N194" s="23">
        <f t="shared" si="71"/>
        <v>104.21497556698557</v>
      </c>
      <c r="O194" s="55">
        <f t="shared" si="57"/>
        <v>97.556853388427839</v>
      </c>
      <c r="P194" s="64">
        <f>MAX(I194*1000/'Calculation Constants'!$B$14,O194*10*I194*1000/2/('Calculation Constants'!$B$12*1000*'Calculation Constants'!$B$13))</f>
        <v>11.25</v>
      </c>
      <c r="Q194" s="66">
        <f t="shared" si="58"/>
        <v>992548.40161508287</v>
      </c>
      <c r="R194" s="27">
        <f>(1/(2*LOG(3.7*$I194/'Calculation Constants'!$B$2*1000)))^2</f>
        <v>8.7463077071963571E-3</v>
      </c>
      <c r="S194" s="19">
        <f t="shared" si="72"/>
        <v>1.2752477269849725</v>
      </c>
      <c r="T194" s="19">
        <f>IF($H194&gt;0,'Calculation Constants'!$B$9*Hydraulics!$K194^2/2/9.81/MAX($F$4:$F$253)*$H194,"")</f>
        <v>7.8734226558858159E-2</v>
      </c>
      <c r="U194" s="19">
        <f t="shared" si="73"/>
        <v>1.3539819535438307</v>
      </c>
      <c r="V194" s="19">
        <f t="shared" si="59"/>
        <v>0</v>
      </c>
      <c r="W194" s="19">
        <f t="shared" si="60"/>
        <v>104.21497556698557</v>
      </c>
      <c r="X194" s="23">
        <f t="shared" si="61"/>
        <v>1125.1259755669855</v>
      </c>
      <c r="Y194" s="22">
        <f>(1/(2*LOG(3.7*$I194/'Calculation Constants'!$B$3*1000)))^2</f>
        <v>9.8211436332891755E-3</v>
      </c>
      <c r="Z194" s="19">
        <f t="shared" si="62"/>
        <v>1.431963236834217</v>
      </c>
      <c r="AA194" s="19">
        <f>IF($H194&gt;0,'Calculation Constants'!$B$9*Hydraulics!$K194^2/2/9.81/MAX($F$4:$F$253)*$H194,"")</f>
        <v>7.8734226558858159E-2</v>
      </c>
      <c r="AB194" s="19">
        <f t="shared" si="81"/>
        <v>1.5106974633930752</v>
      </c>
      <c r="AC194" s="19">
        <f t="shared" si="63"/>
        <v>0</v>
      </c>
      <c r="AD194" s="19">
        <f t="shared" si="74"/>
        <v>97.556853388427839</v>
      </c>
      <c r="AE194" s="23">
        <f t="shared" si="64"/>
        <v>1118.4678533884278</v>
      </c>
      <c r="AF194" s="27">
        <f>(1/(2*LOG(3.7*$I194/'Calculation Constants'!$B$4*1000)))^2</f>
        <v>1.1575055557914658E-2</v>
      </c>
      <c r="AG194" s="19">
        <f t="shared" si="65"/>
        <v>1.6876908272744866</v>
      </c>
      <c r="AH194" s="19">
        <f>IF($H194&gt;0,'Calculation Constants'!$B$9*Hydraulics!$K194^2/2/9.81/MAX($F$4:$F$253)*$H194,"")</f>
        <v>7.8734226558858159E-2</v>
      </c>
      <c r="AI194" s="19">
        <f t="shared" si="75"/>
        <v>1.7664250538333448</v>
      </c>
      <c r="AJ194" s="19">
        <f t="shared" si="66"/>
        <v>0</v>
      </c>
      <c r="AK194" s="19">
        <f t="shared" si="76"/>
        <v>86.709291297072582</v>
      </c>
      <c r="AL194" s="23">
        <f t="shared" si="67"/>
        <v>1107.6202912970725</v>
      </c>
      <c r="AM194" s="22">
        <f>(1/(2*LOG(3.7*($I194-0.008)/'Calculation Constants'!$B$5*1000)))^2</f>
        <v>1.4709705891825043E-2</v>
      </c>
      <c r="AN194" s="19">
        <f t="shared" si="77"/>
        <v>2.1543104841910781</v>
      </c>
      <c r="AO194" s="19">
        <f>IF($H194&gt;0,'Calculation Constants'!$B$9*Hydraulics!$K194^2/2/9.81/MAX($F$4:$F$253)*$H194,"")</f>
        <v>7.8734226558858159E-2</v>
      </c>
      <c r="AP194" s="19">
        <f t="shared" si="78"/>
        <v>2.2330447107499363</v>
      </c>
      <c r="AQ194" s="19">
        <f t="shared" si="68"/>
        <v>0</v>
      </c>
      <c r="AR194" s="19">
        <f t="shared" si="79"/>
        <v>67.001308706054147</v>
      </c>
      <c r="AS194" s="23">
        <f t="shared" si="69"/>
        <v>1087.9123087060541</v>
      </c>
    </row>
    <row r="195" spans="5:45">
      <c r="E195" s="35" t="str">
        <f t="shared" si="55"/>
        <v/>
      </c>
      <c r="F195" s="19">
        <f>'Profile data'!A195</f>
        <v>384</v>
      </c>
      <c r="G195" s="19">
        <f>VLOOKUP(F195,'Profile data'!A195:C454,IF($B$22="Botswana 1",2,3))</f>
        <v>1015.65</v>
      </c>
      <c r="H195" s="19">
        <f t="shared" si="80"/>
        <v>2</v>
      </c>
      <c r="I195" s="19">
        <v>1.8</v>
      </c>
      <c r="J195" s="36">
        <f>'Flow Rate Calculations'!$B$7</f>
        <v>4.0831050228310497</v>
      </c>
      <c r="K195" s="36">
        <f t="shared" si="70"/>
        <v>1.6045588828318709</v>
      </c>
      <c r="L195" s="37">
        <f>$I195*$K195/'Calculation Constants'!$B$7</f>
        <v>2555934.503625989</v>
      </c>
      <c r="M195" s="37" t="str">
        <f t="shared" si="56"/>
        <v>Greater Dynamic Pressures</v>
      </c>
      <c r="N195" s="23">
        <f t="shared" si="71"/>
        <v>108.12199361344176</v>
      </c>
      <c r="O195" s="55">
        <f t="shared" si="57"/>
        <v>101.30715592503464</v>
      </c>
      <c r="P195" s="64">
        <f>MAX(I195*1000/'Calculation Constants'!$B$14,O195*10*I195*1000/2/('Calculation Constants'!$B$12*1000*'Calculation Constants'!$B$13))</f>
        <v>11.25</v>
      </c>
      <c r="Q195" s="66">
        <f t="shared" si="58"/>
        <v>992548.40161508287</v>
      </c>
      <c r="R195" s="27">
        <f>(1/(2*LOG(3.7*$I195/'Calculation Constants'!$B$2*1000)))^2</f>
        <v>8.7463077071963571E-3</v>
      </c>
      <c r="S195" s="19">
        <f t="shared" si="72"/>
        <v>1.2752477269849725</v>
      </c>
      <c r="T195" s="19">
        <f>IF($H195&gt;0,'Calculation Constants'!$B$9*Hydraulics!$K195^2/2/9.81/MAX($F$4:$F$253)*$H195,"")</f>
        <v>7.8734226558858159E-2</v>
      </c>
      <c r="U195" s="19">
        <f t="shared" si="73"/>
        <v>1.3539819535438307</v>
      </c>
      <c r="V195" s="19">
        <f t="shared" si="59"/>
        <v>0</v>
      </c>
      <c r="W195" s="19">
        <f t="shared" si="60"/>
        <v>108.12199361344176</v>
      </c>
      <c r="X195" s="23">
        <f t="shared" si="61"/>
        <v>1123.7719936134417</v>
      </c>
      <c r="Y195" s="22">
        <f>(1/(2*LOG(3.7*$I195/'Calculation Constants'!$B$3*1000)))^2</f>
        <v>9.8211436332891755E-3</v>
      </c>
      <c r="Z195" s="19">
        <f t="shared" si="62"/>
        <v>1.431963236834217</v>
      </c>
      <c r="AA195" s="19">
        <f>IF($H195&gt;0,'Calculation Constants'!$B$9*Hydraulics!$K195^2/2/9.81/MAX($F$4:$F$253)*$H195,"")</f>
        <v>7.8734226558858159E-2</v>
      </c>
      <c r="AB195" s="19">
        <f t="shared" si="81"/>
        <v>1.5106974633930752</v>
      </c>
      <c r="AC195" s="19">
        <f t="shared" si="63"/>
        <v>0</v>
      </c>
      <c r="AD195" s="19">
        <f t="shared" si="74"/>
        <v>101.30715592503464</v>
      </c>
      <c r="AE195" s="23">
        <f t="shared" si="64"/>
        <v>1116.9571559250346</v>
      </c>
      <c r="AF195" s="27">
        <f>(1/(2*LOG(3.7*$I195/'Calculation Constants'!$B$4*1000)))^2</f>
        <v>1.1575055557914658E-2</v>
      </c>
      <c r="AG195" s="19">
        <f t="shared" si="65"/>
        <v>1.6876908272744866</v>
      </c>
      <c r="AH195" s="19">
        <f>IF($H195&gt;0,'Calculation Constants'!$B$9*Hydraulics!$K195^2/2/9.81/MAX($F$4:$F$253)*$H195,"")</f>
        <v>7.8734226558858159E-2</v>
      </c>
      <c r="AI195" s="19">
        <f t="shared" si="75"/>
        <v>1.7664250538333448</v>
      </c>
      <c r="AJ195" s="19">
        <f t="shared" si="66"/>
        <v>0</v>
      </c>
      <c r="AK195" s="19">
        <f t="shared" si="76"/>
        <v>90.203866243239304</v>
      </c>
      <c r="AL195" s="23">
        <f t="shared" si="67"/>
        <v>1105.8538662432393</v>
      </c>
      <c r="AM195" s="22">
        <f>(1/(2*LOG(3.7*($I195-0.008)/'Calculation Constants'!$B$5*1000)))^2</f>
        <v>1.4709705891825043E-2</v>
      </c>
      <c r="AN195" s="19">
        <f t="shared" si="77"/>
        <v>2.1543104841910781</v>
      </c>
      <c r="AO195" s="19">
        <f>IF($H195&gt;0,'Calculation Constants'!$B$9*Hydraulics!$K195^2/2/9.81/MAX($F$4:$F$253)*$H195,"")</f>
        <v>7.8734226558858159E-2</v>
      </c>
      <c r="AP195" s="19">
        <f t="shared" si="78"/>
        <v>2.2330447107499363</v>
      </c>
      <c r="AQ195" s="19">
        <f t="shared" si="68"/>
        <v>0</v>
      </c>
      <c r="AR195" s="19">
        <f t="shared" si="79"/>
        <v>70.029263995304177</v>
      </c>
      <c r="AS195" s="23">
        <f t="shared" si="69"/>
        <v>1085.6792639953042</v>
      </c>
    </row>
    <row r="196" spans="5:45">
      <c r="E196" s="35" t="str">
        <f t="shared" ref="E196:E253" si="82">IF(OR(F196=$B$11,F196=$B$12,F196=$B$13,F196=$B$14,F196=$B$15),"Reservoir",IF(OR(F196=$B$4,F196=$B$5,F196=$B$6),"Pump Station",""))</f>
        <v/>
      </c>
      <c r="F196" s="19">
        <f>'Profile data'!A196</f>
        <v>386</v>
      </c>
      <c r="G196" s="19">
        <f>VLOOKUP(F196,'Profile data'!A196:C455,IF($B$22="Botswana 1",2,3))</f>
        <v>1012.139</v>
      </c>
      <c r="H196" s="19">
        <f t="shared" si="80"/>
        <v>2</v>
      </c>
      <c r="I196" s="19">
        <v>1.8</v>
      </c>
      <c r="J196" s="36">
        <f>'Flow Rate Calculations'!$B$7</f>
        <v>4.0831050228310497</v>
      </c>
      <c r="K196" s="36">
        <f t="shared" si="70"/>
        <v>1.6045588828318709</v>
      </c>
      <c r="L196" s="37">
        <f>$I196*$K196/'Calculation Constants'!$B$7</f>
        <v>2555934.503625989</v>
      </c>
      <c r="M196" s="37" t="str">
        <f t="shared" ref="M196:M253" si="83">IF(X196&gt;VLOOKUP(F196,$B$11:$D$15,2),"Greater Dynamic Pressures",VLOOKUP(F196,$B$11:$C$15,2)-G196)</f>
        <v>Greater Dynamic Pressures</v>
      </c>
      <c r="N196" s="23">
        <f t="shared" si="71"/>
        <v>110.27901165989795</v>
      </c>
      <c r="O196" s="55">
        <f t="shared" ref="O196:O253" si="84">MAX(M196,AD196)</f>
        <v>103.30745846164143</v>
      </c>
      <c r="P196" s="64">
        <f>MAX(I196*1000/'Calculation Constants'!$B$14,O196*10*I196*1000/2/('Calculation Constants'!$B$12*1000*'Calculation Constants'!$B$13))</f>
        <v>11.25</v>
      </c>
      <c r="Q196" s="66">
        <f t="shared" ref="Q196:Q253" si="85">(I196^2*PI()/4-(I196-P196/1000*2)^2*PI()/4)*H196*1000*7850</f>
        <v>992548.40161508287</v>
      </c>
      <c r="R196" s="27">
        <f>(1/(2*LOG(3.7*$I196/'Calculation Constants'!$B$2*1000)))^2</f>
        <v>8.7463077071963571E-3</v>
      </c>
      <c r="S196" s="19">
        <f t="shared" si="72"/>
        <v>1.2752477269849725</v>
      </c>
      <c r="T196" s="19">
        <f>IF($H196&gt;0,'Calculation Constants'!$B$9*Hydraulics!$K196^2/2/9.81/MAX($F$4:$F$253)*$H196,"")</f>
        <v>7.8734226558858159E-2</v>
      </c>
      <c r="U196" s="19">
        <f t="shared" si="73"/>
        <v>1.3539819535438307</v>
      </c>
      <c r="V196" s="19">
        <f t="shared" ref="V196:V253" si="86">IF($F196=$B$4,$D$4,(IF($F196=$B$5,$D$5,IF($F196=$B$6,$D$6,0))))</f>
        <v>0</v>
      </c>
      <c r="W196" s="19">
        <f t="shared" ref="W196:W253" si="87">IF(E196="Reservoir",VLOOKUP(F196,$B$11:$D$15,2)-G196,X196-$G196)</f>
        <v>110.27901165989795</v>
      </c>
      <c r="X196" s="23">
        <f t="shared" ref="X196:X253" si="88">IF($E196="Reservoir",VLOOKUP($F196,$B$11:$D$15,2)+V196,X195-U196+V196)</f>
        <v>1122.418011659898</v>
      </c>
      <c r="Y196" s="22">
        <f>(1/(2*LOG(3.7*$I196/'Calculation Constants'!$B$3*1000)))^2</f>
        <v>9.8211436332891755E-3</v>
      </c>
      <c r="Z196" s="19">
        <f t="shared" ref="Z196:Z253" si="89">IF($H196&gt;0,Y196*$H196*$K196^2/2/9.81/$I196*1000,"")</f>
        <v>1.431963236834217</v>
      </c>
      <c r="AA196" s="19">
        <f>IF($H196&gt;0,'Calculation Constants'!$B$9*Hydraulics!$K196^2/2/9.81/MAX($F$4:$F$253)*$H196,"")</f>
        <v>7.8734226558858159E-2</v>
      </c>
      <c r="AB196" s="19">
        <f t="shared" si="81"/>
        <v>1.5106974633930752</v>
      </c>
      <c r="AC196" s="19">
        <f t="shared" ref="AC196:AC253" si="90">IF($F196=$B$4,$D$4,(IF($F196=$B$5,$D$5,IF($F196=$B$6,$D$6,0))))</f>
        <v>0</v>
      </c>
      <c r="AD196" s="19">
        <f t="shared" si="74"/>
        <v>103.30745846164143</v>
      </c>
      <c r="AE196" s="23">
        <f t="shared" ref="AE196:AE253" si="91">IF($E196="Reservoir",VLOOKUP($F196,$B$11:$D$15,2)+AC196,AE195-AB196+AC196)</f>
        <v>1115.4464584616414</v>
      </c>
      <c r="AF196" s="27">
        <f>(1/(2*LOG(3.7*$I196/'Calculation Constants'!$B$4*1000)))^2</f>
        <v>1.1575055557914658E-2</v>
      </c>
      <c r="AG196" s="19">
        <f t="shared" ref="AG196:AG253" si="92">IF($H196&gt;0,AF196*$H196*$K196^2/2/9.81/$I196*1000,"")</f>
        <v>1.6876908272744866</v>
      </c>
      <c r="AH196" s="19">
        <f>IF($H196&gt;0,'Calculation Constants'!$B$9*Hydraulics!$K196^2/2/9.81/MAX($F$4:$F$253)*$H196,"")</f>
        <v>7.8734226558858159E-2</v>
      </c>
      <c r="AI196" s="19">
        <f t="shared" si="75"/>
        <v>1.7664250538333448</v>
      </c>
      <c r="AJ196" s="19">
        <f t="shared" ref="AJ196:AJ253" si="93">IF($F196=$B$4,$D$4,(IF($F196=$B$5,$D$5,IF($F196=$B$6,$D$6,0))))</f>
        <v>0</v>
      </c>
      <c r="AK196" s="19">
        <f t="shared" si="76"/>
        <v>91.948441189406026</v>
      </c>
      <c r="AL196" s="23">
        <f t="shared" ref="AL196:AL253" si="94">IF($E196="Reservoir",VLOOKUP($F196,$B$11:$D$15,2)+AJ196,AL195-AI196+AJ196)</f>
        <v>1104.087441189406</v>
      </c>
      <c r="AM196" s="22">
        <f>(1/(2*LOG(3.7*($I196-0.008)/'Calculation Constants'!$B$5*1000)))^2</f>
        <v>1.4709705891825043E-2</v>
      </c>
      <c r="AN196" s="19">
        <f t="shared" si="77"/>
        <v>2.1543104841910781</v>
      </c>
      <c r="AO196" s="19">
        <f>IF($H196&gt;0,'Calculation Constants'!$B$9*Hydraulics!$K196^2/2/9.81/MAX($F$4:$F$253)*$H196,"")</f>
        <v>7.8734226558858159E-2</v>
      </c>
      <c r="AP196" s="19">
        <f t="shared" si="78"/>
        <v>2.2330447107499363</v>
      </c>
      <c r="AQ196" s="19">
        <f t="shared" ref="AQ196:AQ253" si="95">IF($F196=$B$4,$D$4,(IF($F196=$B$5,$D$5,IF($F196=$B$6,$D$6,0))))</f>
        <v>0</v>
      </c>
      <c r="AR196" s="19">
        <f t="shared" si="79"/>
        <v>71.307219284554208</v>
      </c>
      <c r="AS196" s="23">
        <f t="shared" ref="AS196:AS253" si="96">IF($E196="Reservoir",VLOOKUP($F196,$B$11:$D$15,2)+AQ196,AS195-AP196+AQ196)</f>
        <v>1083.4462192845542</v>
      </c>
    </row>
    <row r="197" spans="5:45">
      <c r="E197" s="35" t="str">
        <f t="shared" si="82"/>
        <v/>
      </c>
      <c r="F197" s="19">
        <f>'Profile data'!A197</f>
        <v>388</v>
      </c>
      <c r="G197" s="19">
        <f>VLOOKUP(F197,'Profile data'!A197:C456,IF($B$22="Botswana 1",2,3))</f>
        <v>1010.472</v>
      </c>
      <c r="H197" s="19">
        <f t="shared" si="80"/>
        <v>2</v>
      </c>
      <c r="I197" s="19">
        <v>1.8</v>
      </c>
      <c r="J197" s="36">
        <f>'Flow Rate Calculations'!$B$7</f>
        <v>4.0831050228310497</v>
      </c>
      <c r="K197" s="36">
        <f t="shared" ref="K197:K253" si="97">J197/I197^2/PI()*4</f>
        <v>1.6045588828318709</v>
      </c>
      <c r="L197" s="37">
        <f>$I197*$K197/'Calculation Constants'!$B$7</f>
        <v>2555934.503625989</v>
      </c>
      <c r="M197" s="37" t="str">
        <f t="shared" si="83"/>
        <v>Greater Dynamic Pressures</v>
      </c>
      <c r="N197" s="23">
        <f t="shared" ref="N197:N253" si="98">W197</f>
        <v>110.5920297063542</v>
      </c>
      <c r="O197" s="55">
        <f t="shared" si="84"/>
        <v>103.46376099824829</v>
      </c>
      <c r="P197" s="64">
        <f>MAX(I197*1000/'Calculation Constants'!$B$14,O197*10*I197*1000/2/('Calculation Constants'!$B$12*1000*'Calculation Constants'!$B$13))</f>
        <v>11.25</v>
      </c>
      <c r="Q197" s="66">
        <f t="shared" si="85"/>
        <v>992548.40161508287</v>
      </c>
      <c r="R197" s="27">
        <f>(1/(2*LOG(3.7*$I197/'Calculation Constants'!$B$2*1000)))^2</f>
        <v>8.7463077071963571E-3</v>
      </c>
      <c r="S197" s="19">
        <f t="shared" ref="S197:S253" si="99">IF($H197&gt;0,R197*$H197*$K197^2/2/9.81/$I197*1000,"")</f>
        <v>1.2752477269849725</v>
      </c>
      <c r="T197" s="19">
        <f>IF($H197&gt;0,'Calculation Constants'!$B$9*Hydraulics!$K197^2/2/9.81/MAX($F$4:$F$253)*$H197,"")</f>
        <v>7.8734226558858159E-2</v>
      </c>
      <c r="U197" s="19">
        <f t="shared" ref="U197:U253" si="100">IF(S197="",0,S197+T197)</f>
        <v>1.3539819535438307</v>
      </c>
      <c r="V197" s="19">
        <f t="shared" si="86"/>
        <v>0</v>
      </c>
      <c r="W197" s="19">
        <f t="shared" si="87"/>
        <v>110.5920297063542</v>
      </c>
      <c r="X197" s="23">
        <f t="shared" si="88"/>
        <v>1121.0640297063542</v>
      </c>
      <c r="Y197" s="22">
        <f>(1/(2*LOG(3.7*$I197/'Calculation Constants'!$B$3*1000)))^2</f>
        <v>9.8211436332891755E-3</v>
      </c>
      <c r="Z197" s="19">
        <f t="shared" si="89"/>
        <v>1.431963236834217</v>
      </c>
      <c r="AA197" s="19">
        <f>IF($H197&gt;0,'Calculation Constants'!$B$9*Hydraulics!$K197^2/2/9.81/MAX($F$4:$F$253)*$H197,"")</f>
        <v>7.8734226558858159E-2</v>
      </c>
      <c r="AB197" s="19">
        <f t="shared" si="81"/>
        <v>1.5106974633930752</v>
      </c>
      <c r="AC197" s="19">
        <f t="shared" si="90"/>
        <v>0</v>
      </c>
      <c r="AD197" s="19">
        <f t="shared" ref="AD197:AD253" si="101">AE197-$G197</f>
        <v>103.46376099824829</v>
      </c>
      <c r="AE197" s="23">
        <f t="shared" si="91"/>
        <v>1113.9357609982483</v>
      </c>
      <c r="AF197" s="27">
        <f>(1/(2*LOG(3.7*$I197/'Calculation Constants'!$B$4*1000)))^2</f>
        <v>1.1575055557914658E-2</v>
      </c>
      <c r="AG197" s="19">
        <f t="shared" si="92"/>
        <v>1.6876908272744866</v>
      </c>
      <c r="AH197" s="19">
        <f>IF($H197&gt;0,'Calculation Constants'!$B$9*Hydraulics!$K197^2/2/9.81/MAX($F$4:$F$253)*$H197,"")</f>
        <v>7.8734226558858159E-2</v>
      </c>
      <c r="AI197" s="19">
        <f t="shared" ref="AI197:AI253" si="102">IF(AG197="",0,AG197+AH197)</f>
        <v>1.7664250538333448</v>
      </c>
      <c r="AJ197" s="19">
        <f t="shared" si="93"/>
        <v>0</v>
      </c>
      <c r="AK197" s="19">
        <f t="shared" ref="AK197:AK253" si="103">AL197-$G197</f>
        <v>91.849016135572811</v>
      </c>
      <c r="AL197" s="23">
        <f t="shared" si="94"/>
        <v>1102.3210161355728</v>
      </c>
      <c r="AM197" s="22">
        <f>(1/(2*LOG(3.7*($I197-0.008)/'Calculation Constants'!$B$5*1000)))^2</f>
        <v>1.4709705891825043E-2</v>
      </c>
      <c r="AN197" s="19">
        <f t="shared" ref="AN197:AN253" si="104">IF($H197&gt;0,AM197*$H197*$K197^2/2/9.81/($I197-0.008)*1000,"")</f>
        <v>2.1543104841910781</v>
      </c>
      <c r="AO197" s="19">
        <f>IF($H197&gt;0,'Calculation Constants'!$B$9*Hydraulics!$K197^2/2/9.81/MAX($F$4:$F$253)*$H197,"")</f>
        <v>7.8734226558858159E-2</v>
      </c>
      <c r="AP197" s="19">
        <f t="shared" ref="AP197:AP253" si="105">IF(AN197="",0,AN197+AO197)</f>
        <v>2.2330447107499363</v>
      </c>
      <c r="AQ197" s="19">
        <f t="shared" si="95"/>
        <v>0</v>
      </c>
      <c r="AR197" s="19">
        <f t="shared" ref="AR197:AR253" si="106">AS197-$G197</f>
        <v>70.741174573804301</v>
      </c>
      <c r="AS197" s="23">
        <f t="shared" si="96"/>
        <v>1081.2131745738043</v>
      </c>
    </row>
    <row r="198" spans="5:45">
      <c r="E198" s="35" t="str">
        <f t="shared" si="82"/>
        <v/>
      </c>
      <c r="F198" s="19">
        <f>'Profile data'!A198</f>
        <v>390</v>
      </c>
      <c r="G198" s="19">
        <f>VLOOKUP(F198,'Profile data'!A198:C457,IF($B$22="Botswana 1",2,3))</f>
        <v>1005.401</v>
      </c>
      <c r="H198" s="19">
        <f t="shared" ref="H198:H253" si="107">F198-F197</f>
        <v>2</v>
      </c>
      <c r="I198" s="19">
        <v>1.8</v>
      </c>
      <c r="J198" s="36">
        <f>'Flow Rate Calculations'!$B$7</f>
        <v>4.0831050228310497</v>
      </c>
      <c r="K198" s="36">
        <f t="shared" si="97"/>
        <v>1.6045588828318709</v>
      </c>
      <c r="L198" s="37">
        <f>$I198*$K198/'Calculation Constants'!$B$7</f>
        <v>2555934.503625989</v>
      </c>
      <c r="M198" s="37" t="str">
        <f t="shared" si="83"/>
        <v>Greater Dynamic Pressures</v>
      </c>
      <c r="N198" s="23">
        <f t="shared" si="98"/>
        <v>114.30904775281044</v>
      </c>
      <c r="O198" s="55">
        <f t="shared" si="84"/>
        <v>107.02406353485515</v>
      </c>
      <c r="P198" s="64">
        <f>MAX(I198*1000/'Calculation Constants'!$B$14,O198*10*I198*1000/2/('Calculation Constants'!$B$12*1000*'Calculation Constants'!$B$13))</f>
        <v>11.25</v>
      </c>
      <c r="Q198" s="66">
        <f t="shared" si="85"/>
        <v>992548.40161508287</v>
      </c>
      <c r="R198" s="27">
        <f>(1/(2*LOG(3.7*$I198/'Calculation Constants'!$B$2*1000)))^2</f>
        <v>8.7463077071963571E-3</v>
      </c>
      <c r="S198" s="19">
        <f t="shared" si="99"/>
        <v>1.2752477269849725</v>
      </c>
      <c r="T198" s="19">
        <f>IF($H198&gt;0,'Calculation Constants'!$B$9*Hydraulics!$K198^2/2/9.81/MAX($F$4:$F$253)*$H198,"")</f>
        <v>7.8734226558858159E-2</v>
      </c>
      <c r="U198" s="19">
        <f t="shared" si="100"/>
        <v>1.3539819535438307</v>
      </c>
      <c r="V198" s="19">
        <f t="shared" si="86"/>
        <v>0</v>
      </c>
      <c r="W198" s="19">
        <f t="shared" si="87"/>
        <v>114.30904775281044</v>
      </c>
      <c r="X198" s="23">
        <f t="shared" si="88"/>
        <v>1119.7100477528104</v>
      </c>
      <c r="Y198" s="22">
        <f>(1/(2*LOG(3.7*$I198/'Calculation Constants'!$B$3*1000)))^2</f>
        <v>9.8211436332891755E-3</v>
      </c>
      <c r="Z198" s="19">
        <f t="shared" si="89"/>
        <v>1.431963236834217</v>
      </c>
      <c r="AA198" s="19">
        <f>IF($H198&gt;0,'Calculation Constants'!$B$9*Hydraulics!$K198^2/2/9.81/MAX($F$4:$F$253)*$H198,"")</f>
        <v>7.8734226558858159E-2</v>
      </c>
      <c r="AB198" s="19">
        <f t="shared" si="81"/>
        <v>1.5106974633930752</v>
      </c>
      <c r="AC198" s="19">
        <f t="shared" si="90"/>
        <v>0</v>
      </c>
      <c r="AD198" s="19">
        <f t="shared" si="101"/>
        <v>107.02406353485515</v>
      </c>
      <c r="AE198" s="23">
        <f t="shared" si="91"/>
        <v>1112.4250635348551</v>
      </c>
      <c r="AF198" s="27">
        <f>(1/(2*LOG(3.7*$I198/'Calculation Constants'!$B$4*1000)))^2</f>
        <v>1.1575055557914658E-2</v>
      </c>
      <c r="AG198" s="19">
        <f t="shared" si="92"/>
        <v>1.6876908272744866</v>
      </c>
      <c r="AH198" s="19">
        <f>IF($H198&gt;0,'Calculation Constants'!$B$9*Hydraulics!$K198^2/2/9.81/MAX($F$4:$F$253)*$H198,"")</f>
        <v>7.8734226558858159E-2</v>
      </c>
      <c r="AI198" s="19">
        <f t="shared" si="102"/>
        <v>1.7664250538333448</v>
      </c>
      <c r="AJ198" s="19">
        <f t="shared" si="93"/>
        <v>0</v>
      </c>
      <c r="AK198" s="19">
        <f t="shared" si="103"/>
        <v>95.153591081739592</v>
      </c>
      <c r="AL198" s="23">
        <f t="shared" si="94"/>
        <v>1100.5545910817395</v>
      </c>
      <c r="AM198" s="22">
        <f>(1/(2*LOG(3.7*($I198-0.008)/'Calculation Constants'!$B$5*1000)))^2</f>
        <v>1.4709705891825043E-2</v>
      </c>
      <c r="AN198" s="19">
        <f t="shared" si="104"/>
        <v>2.1543104841910781</v>
      </c>
      <c r="AO198" s="19">
        <f>IF($H198&gt;0,'Calculation Constants'!$B$9*Hydraulics!$K198^2/2/9.81/MAX($F$4:$F$253)*$H198,"")</f>
        <v>7.8734226558858159E-2</v>
      </c>
      <c r="AP198" s="19">
        <f t="shared" si="105"/>
        <v>2.2330447107499363</v>
      </c>
      <c r="AQ198" s="19">
        <f t="shared" si="95"/>
        <v>0</v>
      </c>
      <c r="AR198" s="19">
        <f t="shared" si="106"/>
        <v>73.579129863054391</v>
      </c>
      <c r="AS198" s="23">
        <f t="shared" si="96"/>
        <v>1078.9801298630543</v>
      </c>
    </row>
    <row r="199" spans="5:45">
      <c r="E199" s="35" t="str">
        <f t="shared" si="82"/>
        <v/>
      </c>
      <c r="F199" s="19">
        <f>'Profile data'!A199</f>
        <v>392</v>
      </c>
      <c r="G199" s="19">
        <f>VLOOKUP(F199,'Profile data'!A199:C458,IF($B$22="Botswana 1",2,3))</f>
        <v>996.66600000000005</v>
      </c>
      <c r="H199" s="19">
        <f t="shared" si="107"/>
        <v>2</v>
      </c>
      <c r="I199" s="19">
        <v>1.8</v>
      </c>
      <c r="J199" s="36">
        <f>'Flow Rate Calculations'!$B$7</f>
        <v>4.0831050228310497</v>
      </c>
      <c r="K199" s="36">
        <f t="shared" si="97"/>
        <v>1.6045588828318709</v>
      </c>
      <c r="L199" s="37">
        <f>$I199*$K199/'Calculation Constants'!$B$7</f>
        <v>2555934.503625989</v>
      </c>
      <c r="M199" s="37" t="str">
        <f t="shared" si="83"/>
        <v>Greater Dynamic Pressures</v>
      </c>
      <c r="N199" s="23">
        <f t="shared" si="98"/>
        <v>121.69006579926656</v>
      </c>
      <c r="O199" s="55">
        <f t="shared" si="84"/>
        <v>114.24836607146187</v>
      </c>
      <c r="P199" s="64">
        <f>MAX(I199*1000/'Calculation Constants'!$B$14,O199*10*I199*1000/2/('Calculation Constants'!$B$12*1000*'Calculation Constants'!$B$13))</f>
        <v>11.25</v>
      </c>
      <c r="Q199" s="66">
        <f t="shared" si="85"/>
        <v>992548.40161508287</v>
      </c>
      <c r="R199" s="27">
        <f>(1/(2*LOG(3.7*$I199/'Calculation Constants'!$B$2*1000)))^2</f>
        <v>8.7463077071963571E-3</v>
      </c>
      <c r="S199" s="19">
        <f t="shared" si="99"/>
        <v>1.2752477269849725</v>
      </c>
      <c r="T199" s="19">
        <f>IF($H199&gt;0,'Calculation Constants'!$B$9*Hydraulics!$K199^2/2/9.81/MAX($F$4:$F$253)*$H199,"")</f>
        <v>7.8734226558858159E-2</v>
      </c>
      <c r="U199" s="19">
        <f t="shared" si="100"/>
        <v>1.3539819535438307</v>
      </c>
      <c r="V199" s="19">
        <f t="shared" si="86"/>
        <v>0</v>
      </c>
      <c r="W199" s="19">
        <f t="shared" si="87"/>
        <v>121.69006579926656</v>
      </c>
      <c r="X199" s="23">
        <f t="shared" si="88"/>
        <v>1118.3560657992666</v>
      </c>
      <c r="Y199" s="22">
        <f>(1/(2*LOG(3.7*$I199/'Calculation Constants'!$B$3*1000)))^2</f>
        <v>9.8211436332891755E-3</v>
      </c>
      <c r="Z199" s="19">
        <f t="shared" si="89"/>
        <v>1.431963236834217</v>
      </c>
      <c r="AA199" s="19">
        <f>IF($H199&gt;0,'Calculation Constants'!$B$9*Hydraulics!$K199^2/2/9.81/MAX($F$4:$F$253)*$H199,"")</f>
        <v>7.8734226558858159E-2</v>
      </c>
      <c r="AB199" s="19">
        <f t="shared" si="81"/>
        <v>1.5106974633930752</v>
      </c>
      <c r="AC199" s="19">
        <f t="shared" si="90"/>
        <v>0</v>
      </c>
      <c r="AD199" s="19">
        <f t="shared" si="101"/>
        <v>114.24836607146187</v>
      </c>
      <c r="AE199" s="23">
        <f t="shared" si="91"/>
        <v>1110.9143660714619</v>
      </c>
      <c r="AF199" s="27">
        <f>(1/(2*LOG(3.7*$I199/'Calculation Constants'!$B$4*1000)))^2</f>
        <v>1.1575055557914658E-2</v>
      </c>
      <c r="AG199" s="19">
        <f t="shared" si="92"/>
        <v>1.6876908272744866</v>
      </c>
      <c r="AH199" s="19">
        <f>IF($H199&gt;0,'Calculation Constants'!$B$9*Hydraulics!$K199^2/2/9.81/MAX($F$4:$F$253)*$H199,"")</f>
        <v>7.8734226558858159E-2</v>
      </c>
      <c r="AI199" s="19">
        <f t="shared" si="102"/>
        <v>1.7664250538333448</v>
      </c>
      <c r="AJ199" s="19">
        <f t="shared" si="93"/>
        <v>0</v>
      </c>
      <c r="AK199" s="19">
        <f t="shared" si="103"/>
        <v>102.12216602790625</v>
      </c>
      <c r="AL199" s="23">
        <f t="shared" si="94"/>
        <v>1098.7881660279063</v>
      </c>
      <c r="AM199" s="22">
        <f>(1/(2*LOG(3.7*($I199-0.008)/'Calculation Constants'!$B$5*1000)))^2</f>
        <v>1.4709705891825043E-2</v>
      </c>
      <c r="AN199" s="19">
        <f t="shared" si="104"/>
        <v>2.1543104841910781</v>
      </c>
      <c r="AO199" s="19">
        <f>IF($H199&gt;0,'Calculation Constants'!$B$9*Hydraulics!$K199^2/2/9.81/MAX($F$4:$F$253)*$H199,"")</f>
        <v>7.8734226558858159E-2</v>
      </c>
      <c r="AP199" s="19">
        <f t="shared" si="105"/>
        <v>2.2330447107499363</v>
      </c>
      <c r="AQ199" s="19">
        <f t="shared" si="95"/>
        <v>0</v>
      </c>
      <c r="AR199" s="19">
        <f t="shared" si="106"/>
        <v>80.081085152304354</v>
      </c>
      <c r="AS199" s="23">
        <f t="shared" si="96"/>
        <v>1076.7470851523044</v>
      </c>
    </row>
    <row r="200" spans="5:45">
      <c r="E200" s="35" t="str">
        <f t="shared" si="82"/>
        <v/>
      </c>
      <c r="F200" s="19">
        <f>'Profile data'!A200</f>
        <v>394</v>
      </c>
      <c r="G200" s="19">
        <f>VLOOKUP(F200,'Profile data'!A200:C459,IF($B$22="Botswana 1",2,3))</f>
        <v>991.35</v>
      </c>
      <c r="H200" s="19">
        <f t="shared" si="107"/>
        <v>2</v>
      </c>
      <c r="I200" s="19">
        <v>1.8</v>
      </c>
      <c r="J200" s="36">
        <f>'Flow Rate Calculations'!$B$7</f>
        <v>4.0831050228310497</v>
      </c>
      <c r="K200" s="36">
        <f t="shared" si="97"/>
        <v>1.6045588828318709</v>
      </c>
      <c r="L200" s="37">
        <f>$I200*$K200/'Calculation Constants'!$B$7</f>
        <v>2555934.503625989</v>
      </c>
      <c r="M200" s="37" t="str">
        <f t="shared" si="83"/>
        <v>Greater Dynamic Pressures</v>
      </c>
      <c r="N200" s="23">
        <f t="shared" si="98"/>
        <v>125.65208384572281</v>
      </c>
      <c r="O200" s="55">
        <f t="shared" si="84"/>
        <v>118.05366860806873</v>
      </c>
      <c r="P200" s="64">
        <f>MAX(I200*1000/'Calculation Constants'!$B$14,O200*10*I200*1000/2/('Calculation Constants'!$B$12*1000*'Calculation Constants'!$B$13))</f>
        <v>11.25</v>
      </c>
      <c r="Q200" s="66">
        <f t="shared" si="85"/>
        <v>992548.40161508287</v>
      </c>
      <c r="R200" s="27">
        <f>(1/(2*LOG(3.7*$I200/'Calculation Constants'!$B$2*1000)))^2</f>
        <v>8.7463077071963571E-3</v>
      </c>
      <c r="S200" s="19">
        <f t="shared" si="99"/>
        <v>1.2752477269849725</v>
      </c>
      <c r="T200" s="19">
        <f>IF($H200&gt;0,'Calculation Constants'!$B$9*Hydraulics!$K200^2/2/9.81/MAX($F$4:$F$253)*$H200,"")</f>
        <v>7.8734226558858159E-2</v>
      </c>
      <c r="U200" s="19">
        <f t="shared" si="100"/>
        <v>1.3539819535438307</v>
      </c>
      <c r="V200" s="19">
        <f t="shared" si="86"/>
        <v>0</v>
      </c>
      <c r="W200" s="19">
        <f t="shared" si="87"/>
        <v>125.65208384572281</v>
      </c>
      <c r="X200" s="23">
        <f t="shared" si="88"/>
        <v>1117.0020838457228</v>
      </c>
      <c r="Y200" s="22">
        <f>(1/(2*LOG(3.7*$I200/'Calculation Constants'!$B$3*1000)))^2</f>
        <v>9.8211436332891755E-3</v>
      </c>
      <c r="Z200" s="19">
        <f t="shared" si="89"/>
        <v>1.431963236834217</v>
      </c>
      <c r="AA200" s="19">
        <f>IF($H200&gt;0,'Calculation Constants'!$B$9*Hydraulics!$K200^2/2/9.81/MAX($F$4:$F$253)*$H200,"")</f>
        <v>7.8734226558858159E-2</v>
      </c>
      <c r="AB200" s="19">
        <f t="shared" ref="AB200:AB253" si="108">IF(Z200="",0,Z200+AA200)</f>
        <v>1.5106974633930752</v>
      </c>
      <c r="AC200" s="19">
        <f t="shared" si="90"/>
        <v>0</v>
      </c>
      <c r="AD200" s="19">
        <f t="shared" si="101"/>
        <v>118.05366860806873</v>
      </c>
      <c r="AE200" s="23">
        <f t="shared" si="91"/>
        <v>1109.4036686080688</v>
      </c>
      <c r="AF200" s="27">
        <f>(1/(2*LOG(3.7*$I200/'Calculation Constants'!$B$4*1000)))^2</f>
        <v>1.1575055557914658E-2</v>
      </c>
      <c r="AG200" s="19">
        <f t="shared" si="92"/>
        <v>1.6876908272744866</v>
      </c>
      <c r="AH200" s="19">
        <f>IF($H200&gt;0,'Calculation Constants'!$B$9*Hydraulics!$K200^2/2/9.81/MAX($F$4:$F$253)*$H200,"")</f>
        <v>7.8734226558858159E-2</v>
      </c>
      <c r="AI200" s="19">
        <f t="shared" si="102"/>
        <v>1.7664250538333448</v>
      </c>
      <c r="AJ200" s="19">
        <f t="shared" si="93"/>
        <v>0</v>
      </c>
      <c r="AK200" s="19">
        <f t="shared" si="103"/>
        <v>105.67174097407303</v>
      </c>
      <c r="AL200" s="23">
        <f t="shared" si="94"/>
        <v>1097.0217409740731</v>
      </c>
      <c r="AM200" s="22">
        <f>(1/(2*LOG(3.7*($I200-0.008)/'Calculation Constants'!$B$5*1000)))^2</f>
        <v>1.4709705891825043E-2</v>
      </c>
      <c r="AN200" s="19">
        <f t="shared" si="104"/>
        <v>2.1543104841910781</v>
      </c>
      <c r="AO200" s="19">
        <f>IF($H200&gt;0,'Calculation Constants'!$B$9*Hydraulics!$K200^2/2/9.81/MAX($F$4:$F$253)*$H200,"")</f>
        <v>7.8734226558858159E-2</v>
      </c>
      <c r="AP200" s="19">
        <f t="shared" si="105"/>
        <v>2.2330447107499363</v>
      </c>
      <c r="AQ200" s="19">
        <f t="shared" si="95"/>
        <v>0</v>
      </c>
      <c r="AR200" s="19">
        <f t="shared" si="106"/>
        <v>83.164040441554448</v>
      </c>
      <c r="AS200" s="23">
        <f t="shared" si="96"/>
        <v>1074.5140404415545</v>
      </c>
    </row>
    <row r="201" spans="5:45">
      <c r="E201" s="35" t="str">
        <f t="shared" si="82"/>
        <v/>
      </c>
      <c r="F201" s="19">
        <f>'Profile data'!A201</f>
        <v>396</v>
      </c>
      <c r="G201" s="19">
        <f>VLOOKUP(F201,'Profile data'!A201:C460,IF($B$22="Botswana 1",2,3))</f>
        <v>990.48599999999999</v>
      </c>
      <c r="H201" s="19">
        <f t="shared" si="107"/>
        <v>2</v>
      </c>
      <c r="I201" s="19">
        <v>1.8</v>
      </c>
      <c r="J201" s="36">
        <f>'Flow Rate Calculations'!$B$7</f>
        <v>4.0831050228310497</v>
      </c>
      <c r="K201" s="36">
        <f t="shared" si="97"/>
        <v>1.6045588828318709</v>
      </c>
      <c r="L201" s="37">
        <f>$I201*$K201/'Calculation Constants'!$B$7</f>
        <v>2555934.503625989</v>
      </c>
      <c r="M201" s="37" t="str">
        <f t="shared" si="83"/>
        <v>Greater Dynamic Pressures</v>
      </c>
      <c r="N201" s="23">
        <f t="shared" si="98"/>
        <v>125.16210189217907</v>
      </c>
      <c r="O201" s="55">
        <f t="shared" si="84"/>
        <v>117.40697114467559</v>
      </c>
      <c r="P201" s="64">
        <f>MAX(I201*1000/'Calculation Constants'!$B$14,O201*10*I201*1000/2/('Calculation Constants'!$B$12*1000*'Calculation Constants'!$B$13))</f>
        <v>11.25</v>
      </c>
      <c r="Q201" s="66">
        <f t="shared" si="85"/>
        <v>992548.40161508287</v>
      </c>
      <c r="R201" s="27">
        <f>(1/(2*LOG(3.7*$I201/'Calculation Constants'!$B$2*1000)))^2</f>
        <v>8.7463077071963571E-3</v>
      </c>
      <c r="S201" s="19">
        <f t="shared" si="99"/>
        <v>1.2752477269849725</v>
      </c>
      <c r="T201" s="19">
        <f>IF($H201&gt;0,'Calculation Constants'!$B$9*Hydraulics!$K201^2/2/9.81/MAX($F$4:$F$253)*$H201,"")</f>
        <v>7.8734226558858159E-2</v>
      </c>
      <c r="U201" s="19">
        <f t="shared" si="100"/>
        <v>1.3539819535438307</v>
      </c>
      <c r="V201" s="19">
        <f t="shared" si="86"/>
        <v>0</v>
      </c>
      <c r="W201" s="19">
        <f t="shared" si="87"/>
        <v>125.16210189217907</v>
      </c>
      <c r="X201" s="23">
        <f t="shared" si="88"/>
        <v>1115.6481018921791</v>
      </c>
      <c r="Y201" s="22">
        <f>(1/(2*LOG(3.7*$I201/'Calculation Constants'!$B$3*1000)))^2</f>
        <v>9.8211436332891755E-3</v>
      </c>
      <c r="Z201" s="19">
        <f t="shared" si="89"/>
        <v>1.431963236834217</v>
      </c>
      <c r="AA201" s="19">
        <f>IF($H201&gt;0,'Calculation Constants'!$B$9*Hydraulics!$K201^2/2/9.81/MAX($F$4:$F$253)*$H201,"")</f>
        <v>7.8734226558858159E-2</v>
      </c>
      <c r="AB201" s="19">
        <f t="shared" si="108"/>
        <v>1.5106974633930752</v>
      </c>
      <c r="AC201" s="19">
        <f t="shared" si="90"/>
        <v>0</v>
      </c>
      <c r="AD201" s="19">
        <f t="shared" si="101"/>
        <v>117.40697114467559</v>
      </c>
      <c r="AE201" s="23">
        <f t="shared" si="91"/>
        <v>1107.8929711446756</v>
      </c>
      <c r="AF201" s="27">
        <f>(1/(2*LOG(3.7*$I201/'Calculation Constants'!$B$4*1000)))^2</f>
        <v>1.1575055557914658E-2</v>
      </c>
      <c r="AG201" s="19">
        <f t="shared" si="92"/>
        <v>1.6876908272744866</v>
      </c>
      <c r="AH201" s="19">
        <f>IF($H201&gt;0,'Calculation Constants'!$B$9*Hydraulics!$K201^2/2/9.81/MAX($F$4:$F$253)*$H201,"")</f>
        <v>7.8734226558858159E-2</v>
      </c>
      <c r="AI201" s="19">
        <f t="shared" si="102"/>
        <v>1.7664250538333448</v>
      </c>
      <c r="AJ201" s="19">
        <f t="shared" si="93"/>
        <v>0</v>
      </c>
      <c r="AK201" s="19">
        <f t="shared" si="103"/>
        <v>104.76931592023982</v>
      </c>
      <c r="AL201" s="23">
        <f t="shared" si="94"/>
        <v>1095.2553159202398</v>
      </c>
      <c r="AM201" s="22">
        <f>(1/(2*LOG(3.7*($I201-0.008)/'Calculation Constants'!$B$5*1000)))^2</f>
        <v>1.4709705891825043E-2</v>
      </c>
      <c r="AN201" s="19">
        <f t="shared" si="104"/>
        <v>2.1543104841910781</v>
      </c>
      <c r="AO201" s="19">
        <f>IF($H201&gt;0,'Calculation Constants'!$B$9*Hydraulics!$K201^2/2/9.81/MAX($F$4:$F$253)*$H201,"")</f>
        <v>7.8734226558858159E-2</v>
      </c>
      <c r="AP201" s="19">
        <f t="shared" si="105"/>
        <v>2.2330447107499363</v>
      </c>
      <c r="AQ201" s="19">
        <f t="shared" si="95"/>
        <v>0</v>
      </c>
      <c r="AR201" s="19">
        <f t="shared" si="106"/>
        <v>81.794995730804544</v>
      </c>
      <c r="AS201" s="23">
        <f t="shared" si="96"/>
        <v>1072.2809957308045</v>
      </c>
    </row>
    <row r="202" spans="5:45">
      <c r="E202" s="35" t="str">
        <f t="shared" si="82"/>
        <v/>
      </c>
      <c r="F202" s="19">
        <f>'Profile data'!A202</f>
        <v>398</v>
      </c>
      <c r="G202" s="19">
        <f>VLOOKUP(F202,'Profile data'!A202:C461,IF($B$22="Botswana 1",2,3))</f>
        <v>992.76099999999997</v>
      </c>
      <c r="H202" s="19">
        <f t="shared" si="107"/>
        <v>2</v>
      </c>
      <c r="I202" s="19">
        <v>1.8</v>
      </c>
      <c r="J202" s="36">
        <f>'Flow Rate Calculations'!$B$7</f>
        <v>4.0831050228310497</v>
      </c>
      <c r="K202" s="36">
        <f t="shared" si="97"/>
        <v>1.6045588828318709</v>
      </c>
      <c r="L202" s="37">
        <f>$I202*$K202/'Calculation Constants'!$B$7</f>
        <v>2555934.503625989</v>
      </c>
      <c r="M202" s="37" t="str">
        <f t="shared" si="83"/>
        <v>Greater Dynamic Pressures</v>
      </c>
      <c r="N202" s="23">
        <f t="shared" si="98"/>
        <v>121.53311993863531</v>
      </c>
      <c r="O202" s="55">
        <f t="shared" si="84"/>
        <v>113.62127368128245</v>
      </c>
      <c r="P202" s="64">
        <f>MAX(I202*1000/'Calculation Constants'!$B$14,O202*10*I202*1000/2/('Calculation Constants'!$B$12*1000*'Calculation Constants'!$B$13))</f>
        <v>11.25</v>
      </c>
      <c r="Q202" s="66">
        <f t="shared" si="85"/>
        <v>992548.40161508287</v>
      </c>
      <c r="R202" s="27">
        <f>(1/(2*LOG(3.7*$I202/'Calculation Constants'!$B$2*1000)))^2</f>
        <v>8.7463077071963571E-3</v>
      </c>
      <c r="S202" s="19">
        <f t="shared" si="99"/>
        <v>1.2752477269849725</v>
      </c>
      <c r="T202" s="19">
        <f>IF($H202&gt;0,'Calculation Constants'!$B$9*Hydraulics!$K202^2/2/9.81/MAX($F$4:$F$253)*$H202,"")</f>
        <v>7.8734226558858159E-2</v>
      </c>
      <c r="U202" s="19">
        <f t="shared" si="100"/>
        <v>1.3539819535438307</v>
      </c>
      <c r="V202" s="19">
        <f t="shared" si="86"/>
        <v>0</v>
      </c>
      <c r="W202" s="19">
        <f t="shared" si="87"/>
        <v>121.53311993863531</v>
      </c>
      <c r="X202" s="23">
        <f t="shared" si="88"/>
        <v>1114.2941199386353</v>
      </c>
      <c r="Y202" s="22">
        <f>(1/(2*LOG(3.7*$I202/'Calculation Constants'!$B$3*1000)))^2</f>
        <v>9.8211436332891755E-3</v>
      </c>
      <c r="Z202" s="19">
        <f t="shared" si="89"/>
        <v>1.431963236834217</v>
      </c>
      <c r="AA202" s="19">
        <f>IF($H202&gt;0,'Calculation Constants'!$B$9*Hydraulics!$K202^2/2/9.81/MAX($F$4:$F$253)*$H202,"")</f>
        <v>7.8734226558858159E-2</v>
      </c>
      <c r="AB202" s="19">
        <f t="shared" si="108"/>
        <v>1.5106974633930752</v>
      </c>
      <c r="AC202" s="19">
        <f t="shared" si="90"/>
        <v>0</v>
      </c>
      <c r="AD202" s="19">
        <f t="shared" si="101"/>
        <v>113.62127368128245</v>
      </c>
      <c r="AE202" s="23">
        <f t="shared" si="91"/>
        <v>1106.3822736812824</v>
      </c>
      <c r="AF202" s="27">
        <f>(1/(2*LOG(3.7*$I202/'Calculation Constants'!$B$4*1000)))^2</f>
        <v>1.1575055557914658E-2</v>
      </c>
      <c r="AG202" s="19">
        <f t="shared" si="92"/>
        <v>1.6876908272744866</v>
      </c>
      <c r="AH202" s="19">
        <f>IF($H202&gt;0,'Calculation Constants'!$B$9*Hydraulics!$K202^2/2/9.81/MAX($F$4:$F$253)*$H202,"")</f>
        <v>7.8734226558858159E-2</v>
      </c>
      <c r="AI202" s="19">
        <f t="shared" si="102"/>
        <v>1.7664250538333448</v>
      </c>
      <c r="AJ202" s="19">
        <f t="shared" si="93"/>
        <v>0</v>
      </c>
      <c r="AK202" s="19">
        <f t="shared" si="103"/>
        <v>100.7278908664066</v>
      </c>
      <c r="AL202" s="23">
        <f t="shared" si="94"/>
        <v>1093.4888908664066</v>
      </c>
      <c r="AM202" s="22">
        <f>(1/(2*LOG(3.7*($I202-0.008)/'Calculation Constants'!$B$5*1000)))^2</f>
        <v>1.4709705891825043E-2</v>
      </c>
      <c r="AN202" s="19">
        <f t="shared" si="104"/>
        <v>2.1543104841910781</v>
      </c>
      <c r="AO202" s="19">
        <f>IF($H202&gt;0,'Calculation Constants'!$B$9*Hydraulics!$K202^2/2/9.81/MAX($F$4:$F$253)*$H202,"")</f>
        <v>7.8734226558858159E-2</v>
      </c>
      <c r="AP202" s="19">
        <f t="shared" si="105"/>
        <v>2.2330447107499363</v>
      </c>
      <c r="AQ202" s="19">
        <f t="shared" si="95"/>
        <v>0</v>
      </c>
      <c r="AR202" s="19">
        <f t="shared" si="106"/>
        <v>77.28695102005463</v>
      </c>
      <c r="AS202" s="23">
        <f t="shared" si="96"/>
        <v>1070.0479510200546</v>
      </c>
    </row>
    <row r="203" spans="5:45">
      <c r="E203" s="35" t="str">
        <f t="shared" si="82"/>
        <v/>
      </c>
      <c r="F203" s="19">
        <f>'Profile data'!A203</f>
        <v>400</v>
      </c>
      <c r="G203" s="19">
        <f>VLOOKUP(F203,'Profile data'!A203:C462,IF($B$22="Botswana 1",2,3))</f>
        <v>999.077</v>
      </c>
      <c r="H203" s="19">
        <f t="shared" si="107"/>
        <v>2</v>
      </c>
      <c r="I203" s="19">
        <v>1.8</v>
      </c>
      <c r="J203" s="36">
        <f>'Flow Rate Calculations'!$B$7</f>
        <v>4.0831050228310497</v>
      </c>
      <c r="K203" s="36">
        <f t="shared" si="97"/>
        <v>1.6045588828318709</v>
      </c>
      <c r="L203" s="37">
        <f>$I203*$K203/'Calculation Constants'!$B$7</f>
        <v>2555934.503625989</v>
      </c>
      <c r="M203" s="37" t="str">
        <f t="shared" si="83"/>
        <v>Greater Dynamic Pressures</v>
      </c>
      <c r="N203" s="23">
        <f t="shared" si="98"/>
        <v>113.8631379850915</v>
      </c>
      <c r="O203" s="55">
        <f t="shared" si="84"/>
        <v>105.79457621788924</v>
      </c>
      <c r="P203" s="64">
        <f>MAX(I203*1000/'Calculation Constants'!$B$14,O203*10*I203*1000/2/('Calculation Constants'!$B$12*1000*'Calculation Constants'!$B$13))</f>
        <v>11.25</v>
      </c>
      <c r="Q203" s="66">
        <f t="shared" si="85"/>
        <v>992548.40161508287</v>
      </c>
      <c r="R203" s="27">
        <f>(1/(2*LOG(3.7*$I203/'Calculation Constants'!$B$2*1000)))^2</f>
        <v>8.7463077071963571E-3</v>
      </c>
      <c r="S203" s="19">
        <f t="shared" si="99"/>
        <v>1.2752477269849725</v>
      </c>
      <c r="T203" s="19">
        <f>IF($H203&gt;0,'Calculation Constants'!$B$9*Hydraulics!$K203^2/2/9.81/MAX($F$4:$F$253)*$H203,"")</f>
        <v>7.8734226558858159E-2</v>
      </c>
      <c r="U203" s="19">
        <f t="shared" si="100"/>
        <v>1.3539819535438307</v>
      </c>
      <c r="V203" s="19">
        <f t="shared" si="86"/>
        <v>0</v>
      </c>
      <c r="W203" s="19">
        <f t="shared" si="87"/>
        <v>113.8631379850915</v>
      </c>
      <c r="X203" s="23">
        <f t="shared" si="88"/>
        <v>1112.9401379850915</v>
      </c>
      <c r="Y203" s="22">
        <f>(1/(2*LOG(3.7*$I203/'Calculation Constants'!$B$3*1000)))^2</f>
        <v>9.8211436332891755E-3</v>
      </c>
      <c r="Z203" s="19">
        <f t="shared" si="89"/>
        <v>1.431963236834217</v>
      </c>
      <c r="AA203" s="19">
        <f>IF($H203&gt;0,'Calculation Constants'!$B$9*Hydraulics!$K203^2/2/9.81/MAX($F$4:$F$253)*$H203,"")</f>
        <v>7.8734226558858159E-2</v>
      </c>
      <c r="AB203" s="19">
        <f t="shared" si="108"/>
        <v>1.5106974633930752</v>
      </c>
      <c r="AC203" s="19">
        <f t="shared" si="90"/>
        <v>0</v>
      </c>
      <c r="AD203" s="19">
        <f t="shared" si="101"/>
        <v>105.79457621788924</v>
      </c>
      <c r="AE203" s="23">
        <f t="shared" si="91"/>
        <v>1104.8715762178892</v>
      </c>
      <c r="AF203" s="27">
        <f>(1/(2*LOG(3.7*$I203/'Calculation Constants'!$B$4*1000)))^2</f>
        <v>1.1575055557914658E-2</v>
      </c>
      <c r="AG203" s="19">
        <f t="shared" si="92"/>
        <v>1.6876908272744866</v>
      </c>
      <c r="AH203" s="19">
        <f>IF($H203&gt;0,'Calculation Constants'!$B$9*Hydraulics!$K203^2/2/9.81/MAX($F$4:$F$253)*$H203,"")</f>
        <v>7.8734226558858159E-2</v>
      </c>
      <c r="AI203" s="19">
        <f t="shared" si="102"/>
        <v>1.7664250538333448</v>
      </c>
      <c r="AJ203" s="19">
        <f t="shared" si="93"/>
        <v>0</v>
      </c>
      <c r="AK203" s="19">
        <f t="shared" si="103"/>
        <v>92.64546581257332</v>
      </c>
      <c r="AL203" s="23">
        <f t="shared" si="94"/>
        <v>1091.7224658125733</v>
      </c>
      <c r="AM203" s="22">
        <f>(1/(2*LOG(3.7*($I203-0.008)/'Calculation Constants'!$B$5*1000)))^2</f>
        <v>1.4709705891825043E-2</v>
      </c>
      <c r="AN203" s="19">
        <f t="shared" si="104"/>
        <v>2.1543104841910781</v>
      </c>
      <c r="AO203" s="19">
        <f>IF($H203&gt;0,'Calculation Constants'!$B$9*Hydraulics!$K203^2/2/9.81/MAX($F$4:$F$253)*$H203,"")</f>
        <v>7.8734226558858159E-2</v>
      </c>
      <c r="AP203" s="19">
        <f t="shared" si="105"/>
        <v>2.2330447107499363</v>
      </c>
      <c r="AQ203" s="19">
        <f t="shared" si="95"/>
        <v>0</v>
      </c>
      <c r="AR203" s="19">
        <f t="shared" si="106"/>
        <v>68.737906309304662</v>
      </c>
      <c r="AS203" s="23">
        <f t="shared" si="96"/>
        <v>1067.8149063093047</v>
      </c>
    </row>
    <row r="204" spans="5:45">
      <c r="E204" s="35" t="str">
        <f t="shared" si="82"/>
        <v/>
      </c>
      <c r="F204" s="19">
        <f>'Profile data'!A204</f>
        <v>402</v>
      </c>
      <c r="G204" s="19">
        <f>VLOOKUP(F204,'Profile data'!A204:C463,IF($B$22="Botswana 1",2,3))</f>
        <v>1001.8</v>
      </c>
      <c r="H204" s="19">
        <f t="shared" si="107"/>
        <v>2</v>
      </c>
      <c r="I204" s="19">
        <v>1.8</v>
      </c>
      <c r="J204" s="36">
        <f>'Flow Rate Calculations'!$B$7</f>
        <v>4.0831050228310497</v>
      </c>
      <c r="K204" s="36">
        <f t="shared" si="97"/>
        <v>1.6045588828318709</v>
      </c>
      <c r="L204" s="37">
        <f>$I204*$K204/'Calculation Constants'!$B$7</f>
        <v>2555934.503625989</v>
      </c>
      <c r="M204" s="37" t="str">
        <f t="shared" si="83"/>
        <v>Greater Dynamic Pressures</v>
      </c>
      <c r="N204" s="23">
        <f t="shared" si="98"/>
        <v>109.78615603154776</v>
      </c>
      <c r="O204" s="55">
        <f t="shared" si="84"/>
        <v>101.56087875449612</v>
      </c>
      <c r="P204" s="64">
        <f>MAX(I204*1000/'Calculation Constants'!$B$14,O204*10*I204*1000/2/('Calculation Constants'!$B$12*1000*'Calculation Constants'!$B$13))</f>
        <v>11.25</v>
      </c>
      <c r="Q204" s="66">
        <f t="shared" si="85"/>
        <v>992548.40161508287</v>
      </c>
      <c r="R204" s="27">
        <f>(1/(2*LOG(3.7*$I204/'Calculation Constants'!$B$2*1000)))^2</f>
        <v>8.7463077071963571E-3</v>
      </c>
      <c r="S204" s="19">
        <f t="shared" si="99"/>
        <v>1.2752477269849725</v>
      </c>
      <c r="T204" s="19">
        <f>IF($H204&gt;0,'Calculation Constants'!$B$9*Hydraulics!$K204^2/2/9.81/MAX($F$4:$F$253)*$H204,"")</f>
        <v>7.8734226558858159E-2</v>
      </c>
      <c r="U204" s="19">
        <f t="shared" si="100"/>
        <v>1.3539819535438307</v>
      </c>
      <c r="V204" s="19">
        <f t="shared" si="86"/>
        <v>0</v>
      </c>
      <c r="W204" s="19">
        <f t="shared" si="87"/>
        <v>109.78615603154776</v>
      </c>
      <c r="X204" s="23">
        <f t="shared" si="88"/>
        <v>1111.5861560315477</v>
      </c>
      <c r="Y204" s="22">
        <f>(1/(2*LOG(3.7*$I204/'Calculation Constants'!$B$3*1000)))^2</f>
        <v>9.8211436332891755E-3</v>
      </c>
      <c r="Z204" s="19">
        <f t="shared" si="89"/>
        <v>1.431963236834217</v>
      </c>
      <c r="AA204" s="19">
        <f>IF($H204&gt;0,'Calculation Constants'!$B$9*Hydraulics!$K204^2/2/9.81/MAX($F$4:$F$253)*$H204,"")</f>
        <v>7.8734226558858159E-2</v>
      </c>
      <c r="AB204" s="19">
        <f t="shared" si="108"/>
        <v>1.5106974633930752</v>
      </c>
      <c r="AC204" s="19">
        <f t="shared" si="90"/>
        <v>0</v>
      </c>
      <c r="AD204" s="19">
        <f t="shared" si="101"/>
        <v>101.56087875449612</v>
      </c>
      <c r="AE204" s="23">
        <f t="shared" si="91"/>
        <v>1103.3608787544961</v>
      </c>
      <c r="AF204" s="27">
        <f>(1/(2*LOG(3.7*$I204/'Calculation Constants'!$B$4*1000)))^2</f>
        <v>1.1575055557914658E-2</v>
      </c>
      <c r="AG204" s="19">
        <f t="shared" si="92"/>
        <v>1.6876908272744866</v>
      </c>
      <c r="AH204" s="19">
        <f>IF($H204&gt;0,'Calculation Constants'!$B$9*Hydraulics!$K204^2/2/9.81/MAX($F$4:$F$253)*$H204,"")</f>
        <v>7.8734226558858159E-2</v>
      </c>
      <c r="AI204" s="19">
        <f t="shared" si="102"/>
        <v>1.7664250538333448</v>
      </c>
      <c r="AJ204" s="19">
        <f t="shared" si="93"/>
        <v>0</v>
      </c>
      <c r="AK204" s="19">
        <f t="shared" si="103"/>
        <v>88.156040758740119</v>
      </c>
      <c r="AL204" s="23">
        <f t="shared" si="94"/>
        <v>1089.9560407587401</v>
      </c>
      <c r="AM204" s="22">
        <f>(1/(2*LOG(3.7*($I204-0.008)/'Calculation Constants'!$B$5*1000)))^2</f>
        <v>1.4709705891825043E-2</v>
      </c>
      <c r="AN204" s="19">
        <f t="shared" si="104"/>
        <v>2.1543104841910781</v>
      </c>
      <c r="AO204" s="19">
        <f>IF($H204&gt;0,'Calculation Constants'!$B$9*Hydraulics!$K204^2/2/9.81/MAX($F$4:$F$253)*$H204,"")</f>
        <v>7.8734226558858159E-2</v>
      </c>
      <c r="AP204" s="19">
        <f t="shared" si="105"/>
        <v>2.2330447107499363</v>
      </c>
      <c r="AQ204" s="19">
        <f t="shared" si="95"/>
        <v>0</v>
      </c>
      <c r="AR204" s="19">
        <f t="shared" si="106"/>
        <v>63.781861598554769</v>
      </c>
      <c r="AS204" s="23">
        <f t="shared" si="96"/>
        <v>1065.5818615985547</v>
      </c>
    </row>
    <row r="205" spans="5:45">
      <c r="E205" s="35" t="str">
        <f t="shared" si="82"/>
        <v/>
      </c>
      <c r="F205" s="19">
        <f>'Profile data'!A205</f>
        <v>404</v>
      </c>
      <c r="G205" s="19">
        <f>VLOOKUP(F205,'Profile data'!A205:C464,IF($B$22="Botswana 1",2,3))</f>
        <v>1002.224</v>
      </c>
      <c r="H205" s="19">
        <f t="shared" si="107"/>
        <v>2</v>
      </c>
      <c r="I205" s="19">
        <v>1.8</v>
      </c>
      <c r="J205" s="36">
        <f>'Flow Rate Calculations'!$B$7</f>
        <v>4.0831050228310497</v>
      </c>
      <c r="K205" s="36">
        <f t="shared" si="97"/>
        <v>1.6045588828318709</v>
      </c>
      <c r="L205" s="37">
        <f>$I205*$K205/'Calculation Constants'!$B$7</f>
        <v>2555934.503625989</v>
      </c>
      <c r="M205" s="37" t="str">
        <f t="shared" si="83"/>
        <v>Greater Dynamic Pressures</v>
      </c>
      <c r="N205" s="23">
        <f t="shared" si="98"/>
        <v>108.00817407800389</v>
      </c>
      <c r="O205" s="55">
        <f t="shared" si="84"/>
        <v>99.626181291102853</v>
      </c>
      <c r="P205" s="64">
        <f>MAX(I205*1000/'Calculation Constants'!$B$14,O205*10*I205*1000/2/('Calculation Constants'!$B$12*1000*'Calculation Constants'!$B$13))</f>
        <v>11.25</v>
      </c>
      <c r="Q205" s="66">
        <f t="shared" si="85"/>
        <v>992548.40161508287</v>
      </c>
      <c r="R205" s="27">
        <f>(1/(2*LOG(3.7*$I205/'Calculation Constants'!$B$2*1000)))^2</f>
        <v>8.7463077071963571E-3</v>
      </c>
      <c r="S205" s="19">
        <f t="shared" si="99"/>
        <v>1.2752477269849725</v>
      </c>
      <c r="T205" s="19">
        <f>IF($H205&gt;0,'Calculation Constants'!$B$9*Hydraulics!$K205^2/2/9.81/MAX($F$4:$F$253)*$H205,"")</f>
        <v>7.8734226558858159E-2</v>
      </c>
      <c r="U205" s="19">
        <f t="shared" si="100"/>
        <v>1.3539819535438307</v>
      </c>
      <c r="V205" s="19">
        <f t="shared" si="86"/>
        <v>0</v>
      </c>
      <c r="W205" s="19">
        <f t="shared" si="87"/>
        <v>108.00817407800389</v>
      </c>
      <c r="X205" s="23">
        <f t="shared" si="88"/>
        <v>1110.2321740780039</v>
      </c>
      <c r="Y205" s="22">
        <f>(1/(2*LOG(3.7*$I205/'Calculation Constants'!$B$3*1000)))^2</f>
        <v>9.8211436332891755E-3</v>
      </c>
      <c r="Z205" s="19">
        <f t="shared" si="89"/>
        <v>1.431963236834217</v>
      </c>
      <c r="AA205" s="19">
        <f>IF($H205&gt;0,'Calculation Constants'!$B$9*Hydraulics!$K205^2/2/9.81/MAX($F$4:$F$253)*$H205,"")</f>
        <v>7.8734226558858159E-2</v>
      </c>
      <c r="AB205" s="19">
        <f t="shared" si="108"/>
        <v>1.5106974633930752</v>
      </c>
      <c r="AC205" s="19">
        <f t="shared" si="90"/>
        <v>0</v>
      </c>
      <c r="AD205" s="19">
        <f t="shared" si="101"/>
        <v>99.626181291102853</v>
      </c>
      <c r="AE205" s="23">
        <f t="shared" si="91"/>
        <v>1101.8501812911029</v>
      </c>
      <c r="AF205" s="27">
        <f>(1/(2*LOG(3.7*$I205/'Calculation Constants'!$B$4*1000)))^2</f>
        <v>1.1575055557914658E-2</v>
      </c>
      <c r="AG205" s="19">
        <f t="shared" si="92"/>
        <v>1.6876908272744866</v>
      </c>
      <c r="AH205" s="19">
        <f>IF($H205&gt;0,'Calculation Constants'!$B$9*Hydraulics!$K205^2/2/9.81/MAX($F$4:$F$253)*$H205,"")</f>
        <v>7.8734226558858159E-2</v>
      </c>
      <c r="AI205" s="19">
        <f t="shared" si="102"/>
        <v>1.7664250538333448</v>
      </c>
      <c r="AJ205" s="19">
        <f t="shared" si="93"/>
        <v>0</v>
      </c>
      <c r="AK205" s="19">
        <f t="shared" si="103"/>
        <v>85.965615704906782</v>
      </c>
      <c r="AL205" s="23">
        <f t="shared" si="94"/>
        <v>1088.1896157049068</v>
      </c>
      <c r="AM205" s="22">
        <f>(1/(2*LOG(3.7*($I205-0.008)/'Calculation Constants'!$B$5*1000)))^2</f>
        <v>1.4709705891825043E-2</v>
      </c>
      <c r="AN205" s="19">
        <f t="shared" si="104"/>
        <v>2.1543104841910781</v>
      </c>
      <c r="AO205" s="19">
        <f>IF($H205&gt;0,'Calculation Constants'!$B$9*Hydraulics!$K205^2/2/9.81/MAX($F$4:$F$253)*$H205,"")</f>
        <v>7.8734226558858159E-2</v>
      </c>
      <c r="AP205" s="19">
        <f t="shared" si="105"/>
        <v>2.2330447107499363</v>
      </c>
      <c r="AQ205" s="19">
        <f t="shared" si="95"/>
        <v>0</v>
      </c>
      <c r="AR205" s="19">
        <f t="shared" si="106"/>
        <v>61.124816887804741</v>
      </c>
      <c r="AS205" s="23">
        <f t="shared" si="96"/>
        <v>1063.3488168878048</v>
      </c>
    </row>
    <row r="206" spans="5:45">
      <c r="E206" s="35" t="str">
        <f t="shared" si="82"/>
        <v/>
      </c>
      <c r="F206" s="19">
        <f>'Profile data'!A206</f>
        <v>406</v>
      </c>
      <c r="G206" s="19">
        <f>VLOOKUP(F206,'Profile data'!A206:C465,IF($B$22="Botswana 1",2,3))</f>
        <v>1002.003</v>
      </c>
      <c r="H206" s="19">
        <f t="shared" si="107"/>
        <v>2</v>
      </c>
      <c r="I206" s="19">
        <v>1.8</v>
      </c>
      <c r="J206" s="36">
        <f>'Flow Rate Calculations'!$B$7</f>
        <v>4.0831050228310497</v>
      </c>
      <c r="K206" s="36">
        <f t="shared" si="97"/>
        <v>1.6045588828318709</v>
      </c>
      <c r="L206" s="37">
        <f>$I206*$K206/'Calculation Constants'!$B$7</f>
        <v>2555934.503625989</v>
      </c>
      <c r="M206" s="37" t="str">
        <f t="shared" si="83"/>
        <v>Greater Dynamic Pressures</v>
      </c>
      <c r="N206" s="23">
        <f t="shared" si="98"/>
        <v>106.87519212446011</v>
      </c>
      <c r="O206" s="55">
        <f t="shared" si="84"/>
        <v>98.336483827709685</v>
      </c>
      <c r="P206" s="64">
        <f>MAX(I206*1000/'Calculation Constants'!$B$14,O206*10*I206*1000/2/('Calculation Constants'!$B$12*1000*'Calculation Constants'!$B$13))</f>
        <v>11.25</v>
      </c>
      <c r="Q206" s="66">
        <f t="shared" si="85"/>
        <v>992548.40161508287</v>
      </c>
      <c r="R206" s="27">
        <f>(1/(2*LOG(3.7*$I206/'Calculation Constants'!$B$2*1000)))^2</f>
        <v>8.7463077071963571E-3</v>
      </c>
      <c r="S206" s="19">
        <f t="shared" si="99"/>
        <v>1.2752477269849725</v>
      </c>
      <c r="T206" s="19">
        <f>IF($H206&gt;0,'Calculation Constants'!$B$9*Hydraulics!$K206^2/2/9.81/MAX($F$4:$F$253)*$H206,"")</f>
        <v>7.8734226558858159E-2</v>
      </c>
      <c r="U206" s="19">
        <f t="shared" si="100"/>
        <v>1.3539819535438307</v>
      </c>
      <c r="V206" s="19">
        <f t="shared" si="86"/>
        <v>0</v>
      </c>
      <c r="W206" s="19">
        <f t="shared" si="87"/>
        <v>106.87519212446011</v>
      </c>
      <c r="X206" s="23">
        <f t="shared" si="88"/>
        <v>1108.8781921244602</v>
      </c>
      <c r="Y206" s="22">
        <f>(1/(2*LOG(3.7*$I206/'Calculation Constants'!$B$3*1000)))^2</f>
        <v>9.8211436332891755E-3</v>
      </c>
      <c r="Z206" s="19">
        <f t="shared" si="89"/>
        <v>1.431963236834217</v>
      </c>
      <c r="AA206" s="19">
        <f>IF($H206&gt;0,'Calculation Constants'!$B$9*Hydraulics!$K206^2/2/9.81/MAX($F$4:$F$253)*$H206,"")</f>
        <v>7.8734226558858159E-2</v>
      </c>
      <c r="AB206" s="19">
        <f t="shared" si="108"/>
        <v>1.5106974633930752</v>
      </c>
      <c r="AC206" s="19">
        <f t="shared" si="90"/>
        <v>0</v>
      </c>
      <c r="AD206" s="19">
        <f t="shared" si="101"/>
        <v>98.336483827709685</v>
      </c>
      <c r="AE206" s="23">
        <f t="shared" si="91"/>
        <v>1100.3394838277097</v>
      </c>
      <c r="AF206" s="27">
        <f>(1/(2*LOG(3.7*$I206/'Calculation Constants'!$B$4*1000)))^2</f>
        <v>1.1575055557914658E-2</v>
      </c>
      <c r="AG206" s="19">
        <f t="shared" si="92"/>
        <v>1.6876908272744866</v>
      </c>
      <c r="AH206" s="19">
        <f>IF($H206&gt;0,'Calculation Constants'!$B$9*Hydraulics!$K206^2/2/9.81/MAX($F$4:$F$253)*$H206,"")</f>
        <v>7.8734226558858159E-2</v>
      </c>
      <c r="AI206" s="19">
        <f t="shared" si="102"/>
        <v>1.7664250538333448</v>
      </c>
      <c r="AJ206" s="19">
        <f t="shared" si="93"/>
        <v>0</v>
      </c>
      <c r="AK206" s="19">
        <f t="shared" si="103"/>
        <v>84.42019065107354</v>
      </c>
      <c r="AL206" s="23">
        <f t="shared" si="94"/>
        <v>1086.4231906510736</v>
      </c>
      <c r="AM206" s="22">
        <f>(1/(2*LOG(3.7*($I206-0.008)/'Calculation Constants'!$B$5*1000)))^2</f>
        <v>1.4709705891825043E-2</v>
      </c>
      <c r="AN206" s="19">
        <f t="shared" si="104"/>
        <v>2.1543104841910781</v>
      </c>
      <c r="AO206" s="19">
        <f>IF($H206&gt;0,'Calculation Constants'!$B$9*Hydraulics!$K206^2/2/9.81/MAX($F$4:$F$253)*$H206,"")</f>
        <v>7.8734226558858159E-2</v>
      </c>
      <c r="AP206" s="19">
        <f t="shared" si="105"/>
        <v>2.2330447107499363</v>
      </c>
      <c r="AQ206" s="19">
        <f t="shared" si="95"/>
        <v>0</v>
      </c>
      <c r="AR206" s="19">
        <f t="shared" si="106"/>
        <v>59.112772177054808</v>
      </c>
      <c r="AS206" s="23">
        <f t="shared" si="96"/>
        <v>1061.1157721770549</v>
      </c>
    </row>
    <row r="207" spans="5:45">
      <c r="E207" s="35" t="str">
        <f t="shared" si="82"/>
        <v/>
      </c>
      <c r="F207" s="19">
        <f>'Profile data'!A207</f>
        <v>408</v>
      </c>
      <c r="G207" s="19">
        <f>VLOOKUP(F207,'Profile data'!A207:C466,IF($B$22="Botswana 1",2,3))</f>
        <v>1003.596</v>
      </c>
      <c r="H207" s="19">
        <f t="shared" si="107"/>
        <v>2</v>
      </c>
      <c r="I207" s="19">
        <v>1.8</v>
      </c>
      <c r="J207" s="36">
        <f>'Flow Rate Calculations'!$B$7</f>
        <v>4.0831050228310497</v>
      </c>
      <c r="K207" s="36">
        <f t="shared" si="97"/>
        <v>1.6045588828318709</v>
      </c>
      <c r="L207" s="37">
        <f>$I207*$K207/'Calculation Constants'!$B$7</f>
        <v>2555934.503625989</v>
      </c>
      <c r="M207" s="37" t="str">
        <f t="shared" si="83"/>
        <v>Greater Dynamic Pressures</v>
      </c>
      <c r="N207" s="23">
        <f t="shared" si="98"/>
        <v>103.92821017091637</v>
      </c>
      <c r="O207" s="55">
        <f t="shared" si="84"/>
        <v>95.232786364316553</v>
      </c>
      <c r="P207" s="64">
        <f>MAX(I207*1000/'Calculation Constants'!$B$14,O207*10*I207*1000/2/('Calculation Constants'!$B$12*1000*'Calculation Constants'!$B$13))</f>
        <v>11.25</v>
      </c>
      <c r="Q207" s="66">
        <f t="shared" si="85"/>
        <v>992548.40161508287</v>
      </c>
      <c r="R207" s="27">
        <f>(1/(2*LOG(3.7*$I207/'Calculation Constants'!$B$2*1000)))^2</f>
        <v>8.7463077071963571E-3</v>
      </c>
      <c r="S207" s="19">
        <f t="shared" si="99"/>
        <v>1.2752477269849725</v>
      </c>
      <c r="T207" s="19">
        <f>IF($H207&gt;0,'Calculation Constants'!$B$9*Hydraulics!$K207^2/2/9.81/MAX($F$4:$F$253)*$H207,"")</f>
        <v>7.8734226558858159E-2</v>
      </c>
      <c r="U207" s="19">
        <f t="shared" si="100"/>
        <v>1.3539819535438307</v>
      </c>
      <c r="V207" s="19">
        <f t="shared" si="86"/>
        <v>0</v>
      </c>
      <c r="W207" s="19">
        <f t="shared" si="87"/>
        <v>103.92821017091637</v>
      </c>
      <c r="X207" s="23">
        <f t="shared" si="88"/>
        <v>1107.5242101709164</v>
      </c>
      <c r="Y207" s="22">
        <f>(1/(2*LOG(3.7*$I207/'Calculation Constants'!$B$3*1000)))^2</f>
        <v>9.8211436332891755E-3</v>
      </c>
      <c r="Z207" s="19">
        <f t="shared" si="89"/>
        <v>1.431963236834217</v>
      </c>
      <c r="AA207" s="19">
        <f>IF($H207&gt;0,'Calculation Constants'!$B$9*Hydraulics!$K207^2/2/9.81/MAX($F$4:$F$253)*$H207,"")</f>
        <v>7.8734226558858159E-2</v>
      </c>
      <c r="AB207" s="19">
        <f t="shared" si="108"/>
        <v>1.5106974633930752</v>
      </c>
      <c r="AC207" s="19">
        <f t="shared" si="90"/>
        <v>0</v>
      </c>
      <c r="AD207" s="19">
        <f t="shared" si="101"/>
        <v>95.232786364316553</v>
      </c>
      <c r="AE207" s="23">
        <f t="shared" si="91"/>
        <v>1098.8287863643166</v>
      </c>
      <c r="AF207" s="27">
        <f>(1/(2*LOG(3.7*$I207/'Calculation Constants'!$B$4*1000)))^2</f>
        <v>1.1575055557914658E-2</v>
      </c>
      <c r="AG207" s="19">
        <f t="shared" si="92"/>
        <v>1.6876908272744866</v>
      </c>
      <c r="AH207" s="19">
        <f>IF($H207&gt;0,'Calculation Constants'!$B$9*Hydraulics!$K207^2/2/9.81/MAX($F$4:$F$253)*$H207,"")</f>
        <v>7.8734226558858159E-2</v>
      </c>
      <c r="AI207" s="19">
        <f t="shared" si="102"/>
        <v>1.7664250538333448</v>
      </c>
      <c r="AJ207" s="19">
        <f t="shared" si="93"/>
        <v>0</v>
      </c>
      <c r="AK207" s="19">
        <f t="shared" si="103"/>
        <v>81.060765597240334</v>
      </c>
      <c r="AL207" s="23">
        <f t="shared" si="94"/>
        <v>1084.6567655972403</v>
      </c>
      <c r="AM207" s="22">
        <f>(1/(2*LOG(3.7*($I207-0.008)/'Calculation Constants'!$B$5*1000)))^2</f>
        <v>1.4709705891825043E-2</v>
      </c>
      <c r="AN207" s="19">
        <f t="shared" si="104"/>
        <v>2.1543104841910781</v>
      </c>
      <c r="AO207" s="19">
        <f>IF($H207&gt;0,'Calculation Constants'!$B$9*Hydraulics!$K207^2/2/9.81/MAX($F$4:$F$253)*$H207,"")</f>
        <v>7.8734226558858159E-2</v>
      </c>
      <c r="AP207" s="19">
        <f t="shared" si="105"/>
        <v>2.2330447107499363</v>
      </c>
      <c r="AQ207" s="19">
        <f t="shared" si="95"/>
        <v>0</v>
      </c>
      <c r="AR207" s="19">
        <f t="shared" si="106"/>
        <v>55.28672746630491</v>
      </c>
      <c r="AS207" s="23">
        <f t="shared" si="96"/>
        <v>1058.8827274663049</v>
      </c>
    </row>
    <row r="208" spans="5:45">
      <c r="E208" s="35" t="str">
        <f t="shared" si="82"/>
        <v/>
      </c>
      <c r="F208" s="19">
        <f>'Profile data'!A208</f>
        <v>410</v>
      </c>
      <c r="G208" s="19">
        <f>VLOOKUP(F208,'Profile data'!A208:C467,IF($B$22="Botswana 1",2,3))</f>
        <v>994.11099999999999</v>
      </c>
      <c r="H208" s="19">
        <f t="shared" si="107"/>
        <v>2</v>
      </c>
      <c r="I208" s="19">
        <v>1.8</v>
      </c>
      <c r="J208" s="36">
        <f>'Flow Rate Calculations'!$B$7</f>
        <v>4.0831050228310497</v>
      </c>
      <c r="K208" s="36">
        <f t="shared" si="97"/>
        <v>1.6045588828318709</v>
      </c>
      <c r="L208" s="37">
        <f>$I208*$K208/'Calculation Constants'!$B$7</f>
        <v>2555934.503625989</v>
      </c>
      <c r="M208" s="37" t="str">
        <f t="shared" si="83"/>
        <v>Greater Dynamic Pressures</v>
      </c>
      <c r="N208" s="23">
        <f t="shared" si="98"/>
        <v>112.05922821737261</v>
      </c>
      <c r="O208" s="55">
        <f t="shared" si="84"/>
        <v>103.2070889009234</v>
      </c>
      <c r="P208" s="64">
        <f>MAX(I208*1000/'Calculation Constants'!$B$14,O208*10*I208*1000/2/('Calculation Constants'!$B$12*1000*'Calculation Constants'!$B$13))</f>
        <v>11.25</v>
      </c>
      <c r="Q208" s="66">
        <f t="shared" si="85"/>
        <v>992548.40161508287</v>
      </c>
      <c r="R208" s="27">
        <f>(1/(2*LOG(3.7*$I208/'Calculation Constants'!$B$2*1000)))^2</f>
        <v>8.7463077071963571E-3</v>
      </c>
      <c r="S208" s="19">
        <f t="shared" si="99"/>
        <v>1.2752477269849725</v>
      </c>
      <c r="T208" s="19">
        <f>IF($H208&gt;0,'Calculation Constants'!$B$9*Hydraulics!$K208^2/2/9.81/MAX($F$4:$F$253)*$H208,"")</f>
        <v>7.8734226558858159E-2</v>
      </c>
      <c r="U208" s="19">
        <f t="shared" si="100"/>
        <v>1.3539819535438307</v>
      </c>
      <c r="V208" s="19">
        <f t="shared" si="86"/>
        <v>0</v>
      </c>
      <c r="W208" s="19">
        <f t="shared" si="87"/>
        <v>112.05922821737261</v>
      </c>
      <c r="X208" s="23">
        <f t="shared" si="88"/>
        <v>1106.1702282173726</v>
      </c>
      <c r="Y208" s="22">
        <f>(1/(2*LOG(3.7*$I208/'Calculation Constants'!$B$3*1000)))^2</f>
        <v>9.8211436332891755E-3</v>
      </c>
      <c r="Z208" s="19">
        <f t="shared" si="89"/>
        <v>1.431963236834217</v>
      </c>
      <c r="AA208" s="19">
        <f>IF($H208&gt;0,'Calculation Constants'!$B$9*Hydraulics!$K208^2/2/9.81/MAX($F$4:$F$253)*$H208,"")</f>
        <v>7.8734226558858159E-2</v>
      </c>
      <c r="AB208" s="19">
        <f t="shared" si="108"/>
        <v>1.5106974633930752</v>
      </c>
      <c r="AC208" s="19">
        <f t="shared" si="90"/>
        <v>0</v>
      </c>
      <c r="AD208" s="19">
        <f t="shared" si="101"/>
        <v>103.2070889009234</v>
      </c>
      <c r="AE208" s="23">
        <f t="shared" si="91"/>
        <v>1097.3180889009234</v>
      </c>
      <c r="AF208" s="27">
        <f>(1/(2*LOG(3.7*$I208/'Calculation Constants'!$B$4*1000)))^2</f>
        <v>1.1575055557914658E-2</v>
      </c>
      <c r="AG208" s="19">
        <f t="shared" si="92"/>
        <v>1.6876908272744866</v>
      </c>
      <c r="AH208" s="19">
        <f>IF($H208&gt;0,'Calculation Constants'!$B$9*Hydraulics!$K208^2/2/9.81/MAX($F$4:$F$253)*$H208,"")</f>
        <v>7.8734226558858159E-2</v>
      </c>
      <c r="AI208" s="19">
        <f t="shared" si="102"/>
        <v>1.7664250538333448</v>
      </c>
      <c r="AJ208" s="19">
        <f t="shared" si="93"/>
        <v>0</v>
      </c>
      <c r="AK208" s="19">
        <f t="shared" si="103"/>
        <v>88.779340543407102</v>
      </c>
      <c r="AL208" s="23">
        <f t="shared" si="94"/>
        <v>1082.8903405434071</v>
      </c>
      <c r="AM208" s="22">
        <f>(1/(2*LOG(3.7*($I208-0.008)/'Calculation Constants'!$B$5*1000)))^2</f>
        <v>1.4709705891825043E-2</v>
      </c>
      <c r="AN208" s="19">
        <f t="shared" si="104"/>
        <v>2.1543104841910781</v>
      </c>
      <c r="AO208" s="19">
        <f>IF($H208&gt;0,'Calculation Constants'!$B$9*Hydraulics!$K208^2/2/9.81/MAX($F$4:$F$253)*$H208,"")</f>
        <v>7.8734226558858159E-2</v>
      </c>
      <c r="AP208" s="19">
        <f t="shared" si="105"/>
        <v>2.2330447107499363</v>
      </c>
      <c r="AQ208" s="19">
        <f t="shared" si="95"/>
        <v>0</v>
      </c>
      <c r="AR208" s="19">
        <f t="shared" si="106"/>
        <v>62.538682755554987</v>
      </c>
      <c r="AS208" s="23">
        <f t="shared" si="96"/>
        <v>1056.649682755555</v>
      </c>
    </row>
    <row r="209" spans="5:45">
      <c r="E209" s="35" t="str">
        <f t="shared" si="82"/>
        <v/>
      </c>
      <c r="F209" s="19">
        <f>'Profile data'!A209</f>
        <v>412</v>
      </c>
      <c r="G209" s="19">
        <f>VLOOKUP(F209,'Profile data'!A209:C468,IF($B$22="Botswana 1",2,3))</f>
        <v>983.92499999999995</v>
      </c>
      <c r="H209" s="19">
        <f t="shared" si="107"/>
        <v>2</v>
      </c>
      <c r="I209" s="19">
        <v>1.8</v>
      </c>
      <c r="J209" s="36">
        <f>'Flow Rate Calculations'!$B$7</f>
        <v>4.0831050228310497</v>
      </c>
      <c r="K209" s="36">
        <f t="shared" si="97"/>
        <v>1.6045588828318709</v>
      </c>
      <c r="L209" s="37">
        <f>$I209*$K209/'Calculation Constants'!$B$7</f>
        <v>2555934.503625989</v>
      </c>
      <c r="M209" s="37" t="str">
        <f t="shared" si="83"/>
        <v>Greater Dynamic Pressures</v>
      </c>
      <c r="N209" s="23">
        <f t="shared" si="98"/>
        <v>120.89124626382886</v>
      </c>
      <c r="O209" s="55">
        <f t="shared" si="84"/>
        <v>111.88239143753026</v>
      </c>
      <c r="P209" s="64">
        <f>MAX(I209*1000/'Calculation Constants'!$B$14,O209*10*I209*1000/2/('Calculation Constants'!$B$12*1000*'Calculation Constants'!$B$13))</f>
        <v>11.25</v>
      </c>
      <c r="Q209" s="66">
        <f t="shared" si="85"/>
        <v>992548.40161508287</v>
      </c>
      <c r="R209" s="27">
        <f>(1/(2*LOG(3.7*$I209/'Calculation Constants'!$B$2*1000)))^2</f>
        <v>8.7463077071963571E-3</v>
      </c>
      <c r="S209" s="19">
        <f t="shared" si="99"/>
        <v>1.2752477269849725</v>
      </c>
      <c r="T209" s="19">
        <f>IF($H209&gt;0,'Calculation Constants'!$B$9*Hydraulics!$K209^2/2/9.81/MAX($F$4:$F$253)*$H209,"")</f>
        <v>7.8734226558858159E-2</v>
      </c>
      <c r="U209" s="19">
        <f t="shared" si="100"/>
        <v>1.3539819535438307</v>
      </c>
      <c r="V209" s="19">
        <f t="shared" si="86"/>
        <v>0</v>
      </c>
      <c r="W209" s="19">
        <f t="shared" si="87"/>
        <v>120.89124626382886</v>
      </c>
      <c r="X209" s="23">
        <f t="shared" si="88"/>
        <v>1104.8162462638288</v>
      </c>
      <c r="Y209" s="22">
        <f>(1/(2*LOG(3.7*$I209/'Calculation Constants'!$B$3*1000)))^2</f>
        <v>9.8211436332891755E-3</v>
      </c>
      <c r="Z209" s="19">
        <f t="shared" si="89"/>
        <v>1.431963236834217</v>
      </c>
      <c r="AA209" s="19">
        <f>IF($H209&gt;0,'Calculation Constants'!$B$9*Hydraulics!$K209^2/2/9.81/MAX($F$4:$F$253)*$H209,"")</f>
        <v>7.8734226558858159E-2</v>
      </c>
      <c r="AB209" s="19">
        <f t="shared" si="108"/>
        <v>1.5106974633930752</v>
      </c>
      <c r="AC209" s="19">
        <f t="shared" si="90"/>
        <v>0</v>
      </c>
      <c r="AD209" s="19">
        <f t="shared" si="101"/>
        <v>111.88239143753026</v>
      </c>
      <c r="AE209" s="23">
        <f t="shared" si="91"/>
        <v>1095.8073914375302</v>
      </c>
      <c r="AF209" s="27">
        <f>(1/(2*LOG(3.7*$I209/'Calculation Constants'!$B$4*1000)))^2</f>
        <v>1.1575055557914658E-2</v>
      </c>
      <c r="AG209" s="19">
        <f t="shared" si="92"/>
        <v>1.6876908272744866</v>
      </c>
      <c r="AH209" s="19">
        <f>IF($H209&gt;0,'Calculation Constants'!$B$9*Hydraulics!$K209^2/2/9.81/MAX($F$4:$F$253)*$H209,"")</f>
        <v>7.8734226558858159E-2</v>
      </c>
      <c r="AI209" s="19">
        <f t="shared" si="102"/>
        <v>1.7664250538333448</v>
      </c>
      <c r="AJ209" s="19">
        <f t="shared" si="93"/>
        <v>0</v>
      </c>
      <c r="AK209" s="19">
        <f t="shared" si="103"/>
        <v>97.198915489573892</v>
      </c>
      <c r="AL209" s="23">
        <f t="shared" si="94"/>
        <v>1081.1239154895738</v>
      </c>
      <c r="AM209" s="22">
        <f>(1/(2*LOG(3.7*($I209-0.008)/'Calculation Constants'!$B$5*1000)))^2</f>
        <v>1.4709705891825043E-2</v>
      </c>
      <c r="AN209" s="19">
        <f t="shared" si="104"/>
        <v>2.1543104841910781</v>
      </c>
      <c r="AO209" s="19">
        <f>IF($H209&gt;0,'Calculation Constants'!$B$9*Hydraulics!$K209^2/2/9.81/MAX($F$4:$F$253)*$H209,"")</f>
        <v>7.8734226558858159E-2</v>
      </c>
      <c r="AP209" s="19">
        <f t="shared" si="105"/>
        <v>2.2330447107499363</v>
      </c>
      <c r="AQ209" s="19">
        <f t="shared" si="95"/>
        <v>0</v>
      </c>
      <c r="AR209" s="19">
        <f t="shared" si="106"/>
        <v>70.491638044805086</v>
      </c>
      <c r="AS209" s="23">
        <f t="shared" si="96"/>
        <v>1054.416638044805</v>
      </c>
    </row>
    <row r="210" spans="5:45">
      <c r="E210" s="35" t="str">
        <f t="shared" si="82"/>
        <v/>
      </c>
      <c r="F210" s="19">
        <f>'Profile data'!A210</f>
        <v>414</v>
      </c>
      <c r="G210" s="19">
        <f>VLOOKUP(F210,'Profile data'!A210:C469,IF($B$22="Botswana 1",2,3))</f>
        <v>972.34699999999998</v>
      </c>
      <c r="H210" s="19">
        <f t="shared" si="107"/>
        <v>2</v>
      </c>
      <c r="I210" s="19">
        <v>1.8</v>
      </c>
      <c r="J210" s="36">
        <f>'Flow Rate Calculations'!$B$7</f>
        <v>4.0831050228310497</v>
      </c>
      <c r="K210" s="36">
        <f t="shared" si="97"/>
        <v>1.6045588828318709</v>
      </c>
      <c r="L210" s="37">
        <f>$I210*$K210/'Calculation Constants'!$B$7</f>
        <v>2555934.503625989</v>
      </c>
      <c r="M210" s="37" t="str">
        <f t="shared" si="83"/>
        <v>Greater Dynamic Pressures</v>
      </c>
      <c r="N210" s="23">
        <f t="shared" si="98"/>
        <v>131.11526431028506</v>
      </c>
      <c r="O210" s="55">
        <f t="shared" si="84"/>
        <v>121.94969397413706</v>
      </c>
      <c r="P210" s="64">
        <f>MAX(I210*1000/'Calculation Constants'!$B$14,O210*10*I210*1000/2/('Calculation Constants'!$B$12*1000*'Calculation Constants'!$B$13))</f>
        <v>11.25</v>
      </c>
      <c r="Q210" s="66">
        <f t="shared" si="85"/>
        <v>992548.40161508287</v>
      </c>
      <c r="R210" s="27">
        <f>(1/(2*LOG(3.7*$I210/'Calculation Constants'!$B$2*1000)))^2</f>
        <v>8.7463077071963571E-3</v>
      </c>
      <c r="S210" s="19">
        <f t="shared" si="99"/>
        <v>1.2752477269849725</v>
      </c>
      <c r="T210" s="19">
        <f>IF($H210&gt;0,'Calculation Constants'!$B$9*Hydraulics!$K210^2/2/9.81/MAX($F$4:$F$253)*$H210,"")</f>
        <v>7.8734226558858159E-2</v>
      </c>
      <c r="U210" s="19">
        <f t="shared" si="100"/>
        <v>1.3539819535438307</v>
      </c>
      <c r="V210" s="19">
        <f t="shared" si="86"/>
        <v>0</v>
      </c>
      <c r="W210" s="19">
        <f t="shared" si="87"/>
        <v>131.11526431028506</v>
      </c>
      <c r="X210" s="23">
        <f t="shared" si="88"/>
        <v>1103.462264310285</v>
      </c>
      <c r="Y210" s="22">
        <f>(1/(2*LOG(3.7*$I210/'Calculation Constants'!$B$3*1000)))^2</f>
        <v>9.8211436332891755E-3</v>
      </c>
      <c r="Z210" s="19">
        <f t="shared" si="89"/>
        <v>1.431963236834217</v>
      </c>
      <c r="AA210" s="19">
        <f>IF($H210&gt;0,'Calculation Constants'!$B$9*Hydraulics!$K210^2/2/9.81/MAX($F$4:$F$253)*$H210,"")</f>
        <v>7.8734226558858159E-2</v>
      </c>
      <c r="AB210" s="19">
        <f t="shared" si="108"/>
        <v>1.5106974633930752</v>
      </c>
      <c r="AC210" s="19">
        <f t="shared" si="90"/>
        <v>0</v>
      </c>
      <c r="AD210" s="19">
        <f t="shared" si="101"/>
        <v>121.94969397413706</v>
      </c>
      <c r="AE210" s="23">
        <f t="shared" si="91"/>
        <v>1094.296693974137</v>
      </c>
      <c r="AF210" s="27">
        <f>(1/(2*LOG(3.7*$I210/'Calculation Constants'!$B$4*1000)))^2</f>
        <v>1.1575055557914658E-2</v>
      </c>
      <c r="AG210" s="19">
        <f t="shared" si="92"/>
        <v>1.6876908272744866</v>
      </c>
      <c r="AH210" s="19">
        <f>IF($H210&gt;0,'Calculation Constants'!$B$9*Hydraulics!$K210^2/2/9.81/MAX($F$4:$F$253)*$H210,"")</f>
        <v>7.8734226558858159E-2</v>
      </c>
      <c r="AI210" s="19">
        <f t="shared" si="102"/>
        <v>1.7664250538333448</v>
      </c>
      <c r="AJ210" s="19">
        <f t="shared" si="93"/>
        <v>0</v>
      </c>
      <c r="AK210" s="19">
        <f t="shared" si="103"/>
        <v>107.01049043574062</v>
      </c>
      <c r="AL210" s="23">
        <f t="shared" si="94"/>
        <v>1079.3574904357406</v>
      </c>
      <c r="AM210" s="22">
        <f>(1/(2*LOG(3.7*($I210-0.008)/'Calculation Constants'!$B$5*1000)))^2</f>
        <v>1.4709705891825043E-2</v>
      </c>
      <c r="AN210" s="19">
        <f t="shared" si="104"/>
        <v>2.1543104841910781</v>
      </c>
      <c r="AO210" s="19">
        <f>IF($H210&gt;0,'Calculation Constants'!$B$9*Hydraulics!$K210^2/2/9.81/MAX($F$4:$F$253)*$H210,"")</f>
        <v>7.8734226558858159E-2</v>
      </c>
      <c r="AP210" s="19">
        <f t="shared" si="105"/>
        <v>2.2330447107499363</v>
      </c>
      <c r="AQ210" s="19">
        <f t="shared" si="95"/>
        <v>0</v>
      </c>
      <c r="AR210" s="19">
        <f t="shared" si="106"/>
        <v>79.836593334055124</v>
      </c>
      <c r="AS210" s="23">
        <f t="shared" si="96"/>
        <v>1052.1835933340551</v>
      </c>
    </row>
    <row r="211" spans="5:45">
      <c r="E211" s="35" t="str">
        <f t="shared" si="82"/>
        <v/>
      </c>
      <c r="F211" s="19">
        <f>'Profile data'!A211</f>
        <v>416</v>
      </c>
      <c r="G211" s="19">
        <f>VLOOKUP(F211,'Profile data'!A211:C470,IF($B$22="Botswana 1",2,3))</f>
        <v>963.90099999999995</v>
      </c>
      <c r="H211" s="19">
        <f t="shared" si="107"/>
        <v>2</v>
      </c>
      <c r="I211" s="19">
        <v>1.8</v>
      </c>
      <c r="J211" s="36">
        <f>'Flow Rate Calculations'!$B$7</f>
        <v>4.0831050228310497</v>
      </c>
      <c r="K211" s="36">
        <f t="shared" si="97"/>
        <v>1.6045588828318709</v>
      </c>
      <c r="L211" s="37">
        <f>$I211*$K211/'Calculation Constants'!$B$7</f>
        <v>2555934.503625989</v>
      </c>
      <c r="M211" s="37" t="str">
        <f t="shared" si="83"/>
        <v>Greater Dynamic Pressures</v>
      </c>
      <c r="N211" s="23">
        <f t="shared" si="98"/>
        <v>138.2072823567413</v>
      </c>
      <c r="O211" s="55">
        <f t="shared" si="84"/>
        <v>128.88499651074392</v>
      </c>
      <c r="P211" s="64">
        <f>MAX(I211*1000/'Calculation Constants'!$B$14,O211*10*I211*1000/2/('Calculation Constants'!$B$12*1000*'Calculation Constants'!$B$13))</f>
        <v>11.25</v>
      </c>
      <c r="Q211" s="66">
        <f t="shared" si="85"/>
        <v>992548.40161508287</v>
      </c>
      <c r="R211" s="27">
        <f>(1/(2*LOG(3.7*$I211/'Calculation Constants'!$B$2*1000)))^2</f>
        <v>8.7463077071963571E-3</v>
      </c>
      <c r="S211" s="19">
        <f t="shared" si="99"/>
        <v>1.2752477269849725</v>
      </c>
      <c r="T211" s="19">
        <f>IF($H211&gt;0,'Calculation Constants'!$B$9*Hydraulics!$K211^2/2/9.81/MAX($F$4:$F$253)*$H211,"")</f>
        <v>7.8734226558858159E-2</v>
      </c>
      <c r="U211" s="19">
        <f t="shared" si="100"/>
        <v>1.3539819535438307</v>
      </c>
      <c r="V211" s="19">
        <f t="shared" si="86"/>
        <v>0</v>
      </c>
      <c r="W211" s="19">
        <f t="shared" si="87"/>
        <v>138.2072823567413</v>
      </c>
      <c r="X211" s="23">
        <f t="shared" si="88"/>
        <v>1102.1082823567413</v>
      </c>
      <c r="Y211" s="22">
        <f>(1/(2*LOG(3.7*$I211/'Calculation Constants'!$B$3*1000)))^2</f>
        <v>9.8211436332891755E-3</v>
      </c>
      <c r="Z211" s="19">
        <f t="shared" si="89"/>
        <v>1.431963236834217</v>
      </c>
      <c r="AA211" s="19">
        <f>IF($H211&gt;0,'Calculation Constants'!$B$9*Hydraulics!$K211^2/2/9.81/MAX($F$4:$F$253)*$H211,"")</f>
        <v>7.8734226558858159E-2</v>
      </c>
      <c r="AB211" s="19">
        <f t="shared" si="108"/>
        <v>1.5106974633930752</v>
      </c>
      <c r="AC211" s="19">
        <f t="shared" si="90"/>
        <v>0</v>
      </c>
      <c r="AD211" s="19">
        <f t="shared" si="101"/>
        <v>128.88499651074392</v>
      </c>
      <c r="AE211" s="23">
        <f t="shared" si="91"/>
        <v>1092.7859965107439</v>
      </c>
      <c r="AF211" s="27">
        <f>(1/(2*LOG(3.7*$I211/'Calculation Constants'!$B$4*1000)))^2</f>
        <v>1.1575055557914658E-2</v>
      </c>
      <c r="AG211" s="19">
        <f t="shared" si="92"/>
        <v>1.6876908272744866</v>
      </c>
      <c r="AH211" s="19">
        <f>IF($H211&gt;0,'Calculation Constants'!$B$9*Hydraulics!$K211^2/2/9.81/MAX($F$4:$F$253)*$H211,"")</f>
        <v>7.8734226558858159E-2</v>
      </c>
      <c r="AI211" s="19">
        <f t="shared" si="102"/>
        <v>1.7664250538333448</v>
      </c>
      <c r="AJ211" s="19">
        <f t="shared" si="93"/>
        <v>0</v>
      </c>
      <c r="AK211" s="19">
        <f t="shared" si="103"/>
        <v>113.6900653819074</v>
      </c>
      <c r="AL211" s="23">
        <f t="shared" si="94"/>
        <v>1077.5910653819074</v>
      </c>
      <c r="AM211" s="22">
        <f>(1/(2*LOG(3.7*($I211-0.008)/'Calculation Constants'!$B$5*1000)))^2</f>
        <v>1.4709705891825043E-2</v>
      </c>
      <c r="AN211" s="19">
        <f t="shared" si="104"/>
        <v>2.1543104841910781</v>
      </c>
      <c r="AO211" s="19">
        <f>IF($H211&gt;0,'Calculation Constants'!$B$9*Hydraulics!$K211^2/2/9.81/MAX($F$4:$F$253)*$H211,"")</f>
        <v>7.8734226558858159E-2</v>
      </c>
      <c r="AP211" s="19">
        <f t="shared" si="105"/>
        <v>2.2330447107499363</v>
      </c>
      <c r="AQ211" s="19">
        <f t="shared" si="95"/>
        <v>0</v>
      </c>
      <c r="AR211" s="19">
        <f t="shared" si="106"/>
        <v>86.049548623305213</v>
      </c>
      <c r="AS211" s="23">
        <f t="shared" si="96"/>
        <v>1049.9505486233052</v>
      </c>
    </row>
    <row r="212" spans="5:45">
      <c r="E212" s="35" t="str">
        <f t="shared" si="82"/>
        <v/>
      </c>
      <c r="F212" s="19">
        <f>'Profile data'!A212</f>
        <v>418</v>
      </c>
      <c r="G212" s="19">
        <f>VLOOKUP(F212,'Profile data'!A212:C471,IF($B$22="Botswana 1",2,3))</f>
        <v>963.25800000000004</v>
      </c>
      <c r="H212" s="19">
        <f t="shared" si="107"/>
        <v>2</v>
      </c>
      <c r="I212" s="19">
        <v>1.8</v>
      </c>
      <c r="J212" s="36">
        <f>'Flow Rate Calculations'!$B$7</f>
        <v>4.0831050228310497</v>
      </c>
      <c r="K212" s="36">
        <f t="shared" si="97"/>
        <v>1.6045588828318709</v>
      </c>
      <c r="L212" s="37">
        <f>$I212*$K212/'Calculation Constants'!$B$7</f>
        <v>2555934.503625989</v>
      </c>
      <c r="M212" s="37" t="str">
        <f t="shared" si="83"/>
        <v>Greater Dynamic Pressures</v>
      </c>
      <c r="N212" s="23">
        <f t="shared" si="98"/>
        <v>137.49630040319744</v>
      </c>
      <c r="O212" s="55">
        <f t="shared" si="84"/>
        <v>128.01729904735066</v>
      </c>
      <c r="P212" s="64">
        <f>MAX(I212*1000/'Calculation Constants'!$B$14,O212*10*I212*1000/2/('Calculation Constants'!$B$12*1000*'Calculation Constants'!$B$13))</f>
        <v>11.25</v>
      </c>
      <c r="Q212" s="66">
        <f t="shared" si="85"/>
        <v>992548.40161508287</v>
      </c>
      <c r="R212" s="27">
        <f>(1/(2*LOG(3.7*$I212/'Calculation Constants'!$B$2*1000)))^2</f>
        <v>8.7463077071963571E-3</v>
      </c>
      <c r="S212" s="19">
        <f t="shared" si="99"/>
        <v>1.2752477269849725</v>
      </c>
      <c r="T212" s="19">
        <f>IF($H212&gt;0,'Calculation Constants'!$B$9*Hydraulics!$K212^2/2/9.81/MAX($F$4:$F$253)*$H212,"")</f>
        <v>7.8734226558858159E-2</v>
      </c>
      <c r="U212" s="19">
        <f t="shared" si="100"/>
        <v>1.3539819535438307</v>
      </c>
      <c r="V212" s="19">
        <f t="shared" si="86"/>
        <v>0</v>
      </c>
      <c r="W212" s="19">
        <f t="shared" si="87"/>
        <v>137.49630040319744</v>
      </c>
      <c r="X212" s="23">
        <f t="shared" si="88"/>
        <v>1100.7543004031975</v>
      </c>
      <c r="Y212" s="22">
        <f>(1/(2*LOG(3.7*$I212/'Calculation Constants'!$B$3*1000)))^2</f>
        <v>9.8211436332891755E-3</v>
      </c>
      <c r="Z212" s="19">
        <f t="shared" si="89"/>
        <v>1.431963236834217</v>
      </c>
      <c r="AA212" s="19">
        <f>IF($H212&gt;0,'Calculation Constants'!$B$9*Hydraulics!$K212^2/2/9.81/MAX($F$4:$F$253)*$H212,"")</f>
        <v>7.8734226558858159E-2</v>
      </c>
      <c r="AB212" s="19">
        <f t="shared" si="108"/>
        <v>1.5106974633930752</v>
      </c>
      <c r="AC212" s="19">
        <f t="shared" si="90"/>
        <v>0</v>
      </c>
      <c r="AD212" s="19">
        <f t="shared" si="101"/>
        <v>128.01729904735066</v>
      </c>
      <c r="AE212" s="23">
        <f t="shared" si="91"/>
        <v>1091.2752990473507</v>
      </c>
      <c r="AF212" s="27">
        <f>(1/(2*LOG(3.7*$I212/'Calculation Constants'!$B$4*1000)))^2</f>
        <v>1.1575055557914658E-2</v>
      </c>
      <c r="AG212" s="19">
        <f t="shared" si="92"/>
        <v>1.6876908272744866</v>
      </c>
      <c r="AH212" s="19">
        <f>IF($H212&gt;0,'Calculation Constants'!$B$9*Hydraulics!$K212^2/2/9.81/MAX($F$4:$F$253)*$H212,"")</f>
        <v>7.8734226558858159E-2</v>
      </c>
      <c r="AI212" s="19">
        <f t="shared" si="102"/>
        <v>1.7664250538333448</v>
      </c>
      <c r="AJ212" s="19">
        <f t="shared" si="93"/>
        <v>0</v>
      </c>
      <c r="AK212" s="19">
        <f t="shared" si="103"/>
        <v>112.56664032807407</v>
      </c>
      <c r="AL212" s="23">
        <f t="shared" si="94"/>
        <v>1075.8246403280741</v>
      </c>
      <c r="AM212" s="22">
        <f>(1/(2*LOG(3.7*($I212-0.008)/'Calculation Constants'!$B$5*1000)))^2</f>
        <v>1.4709705891825043E-2</v>
      </c>
      <c r="AN212" s="19">
        <f t="shared" si="104"/>
        <v>2.1543104841910781</v>
      </c>
      <c r="AO212" s="19">
        <f>IF($H212&gt;0,'Calculation Constants'!$B$9*Hydraulics!$K212^2/2/9.81/MAX($F$4:$F$253)*$H212,"")</f>
        <v>7.8734226558858159E-2</v>
      </c>
      <c r="AP212" s="19">
        <f t="shared" si="105"/>
        <v>2.2330447107499363</v>
      </c>
      <c r="AQ212" s="19">
        <f t="shared" si="95"/>
        <v>0</v>
      </c>
      <c r="AR212" s="19">
        <f t="shared" si="106"/>
        <v>84.459503912555192</v>
      </c>
      <c r="AS212" s="23">
        <f t="shared" si="96"/>
        <v>1047.7175039125552</v>
      </c>
    </row>
    <row r="213" spans="5:45">
      <c r="E213" s="35" t="str">
        <f t="shared" si="82"/>
        <v/>
      </c>
      <c r="F213" s="19">
        <f>'Profile data'!A213</f>
        <v>420</v>
      </c>
      <c r="G213" s="19">
        <f>VLOOKUP(F213,'Profile data'!A213:C472,IF($B$22="Botswana 1",2,3))</f>
        <v>965.87199999999996</v>
      </c>
      <c r="H213" s="19">
        <f t="shared" si="107"/>
        <v>2</v>
      </c>
      <c r="I213" s="19">
        <v>1.8</v>
      </c>
      <c r="J213" s="36">
        <f>'Flow Rate Calculations'!$B$7</f>
        <v>4.0831050228310497</v>
      </c>
      <c r="K213" s="36">
        <f t="shared" si="97"/>
        <v>1.6045588828318709</v>
      </c>
      <c r="L213" s="37">
        <f>$I213*$K213/'Calculation Constants'!$B$7</f>
        <v>2555934.503625989</v>
      </c>
      <c r="M213" s="37" t="str">
        <f t="shared" si="83"/>
        <v>Greater Dynamic Pressures</v>
      </c>
      <c r="N213" s="23">
        <f t="shared" si="98"/>
        <v>133.52831844965374</v>
      </c>
      <c r="O213" s="55">
        <f t="shared" si="84"/>
        <v>123.89260158395757</v>
      </c>
      <c r="P213" s="64">
        <f>MAX(I213*1000/'Calculation Constants'!$B$14,O213*10*I213*1000/2/('Calculation Constants'!$B$12*1000*'Calculation Constants'!$B$13))</f>
        <v>11.25</v>
      </c>
      <c r="Q213" s="66">
        <f t="shared" si="85"/>
        <v>992548.40161508287</v>
      </c>
      <c r="R213" s="27">
        <f>(1/(2*LOG(3.7*$I213/'Calculation Constants'!$B$2*1000)))^2</f>
        <v>8.7463077071963571E-3</v>
      </c>
      <c r="S213" s="19">
        <f t="shared" si="99"/>
        <v>1.2752477269849725</v>
      </c>
      <c r="T213" s="19">
        <f>IF($H213&gt;0,'Calculation Constants'!$B$9*Hydraulics!$K213^2/2/9.81/MAX($F$4:$F$253)*$H213,"")</f>
        <v>7.8734226558858159E-2</v>
      </c>
      <c r="U213" s="19">
        <f t="shared" si="100"/>
        <v>1.3539819535438307</v>
      </c>
      <c r="V213" s="19">
        <f t="shared" si="86"/>
        <v>0</v>
      </c>
      <c r="W213" s="19">
        <f t="shared" si="87"/>
        <v>133.52831844965374</v>
      </c>
      <c r="X213" s="23">
        <f t="shared" si="88"/>
        <v>1099.4003184496537</v>
      </c>
      <c r="Y213" s="22">
        <f>(1/(2*LOG(3.7*$I213/'Calculation Constants'!$B$3*1000)))^2</f>
        <v>9.8211436332891755E-3</v>
      </c>
      <c r="Z213" s="19">
        <f t="shared" si="89"/>
        <v>1.431963236834217</v>
      </c>
      <c r="AA213" s="19">
        <f>IF($H213&gt;0,'Calculation Constants'!$B$9*Hydraulics!$K213^2/2/9.81/MAX($F$4:$F$253)*$H213,"")</f>
        <v>7.8734226558858159E-2</v>
      </c>
      <c r="AB213" s="19">
        <f t="shared" si="108"/>
        <v>1.5106974633930752</v>
      </c>
      <c r="AC213" s="19">
        <f t="shared" si="90"/>
        <v>0</v>
      </c>
      <c r="AD213" s="19">
        <f t="shared" si="101"/>
        <v>123.89260158395757</v>
      </c>
      <c r="AE213" s="23">
        <f t="shared" si="91"/>
        <v>1089.7646015839575</v>
      </c>
      <c r="AF213" s="27">
        <f>(1/(2*LOG(3.7*$I213/'Calculation Constants'!$B$4*1000)))^2</f>
        <v>1.1575055557914658E-2</v>
      </c>
      <c r="AG213" s="19">
        <f t="shared" si="92"/>
        <v>1.6876908272744866</v>
      </c>
      <c r="AH213" s="19">
        <f>IF($H213&gt;0,'Calculation Constants'!$B$9*Hydraulics!$K213^2/2/9.81/MAX($F$4:$F$253)*$H213,"")</f>
        <v>7.8734226558858159E-2</v>
      </c>
      <c r="AI213" s="19">
        <f t="shared" si="102"/>
        <v>1.7664250538333448</v>
      </c>
      <c r="AJ213" s="19">
        <f t="shared" si="93"/>
        <v>0</v>
      </c>
      <c r="AK213" s="19">
        <f t="shared" si="103"/>
        <v>108.18621527424091</v>
      </c>
      <c r="AL213" s="23">
        <f t="shared" si="94"/>
        <v>1074.0582152742409</v>
      </c>
      <c r="AM213" s="22">
        <f>(1/(2*LOG(3.7*($I213-0.008)/'Calculation Constants'!$B$5*1000)))^2</f>
        <v>1.4709705891825043E-2</v>
      </c>
      <c r="AN213" s="19">
        <f t="shared" si="104"/>
        <v>2.1543104841910781</v>
      </c>
      <c r="AO213" s="19">
        <f>IF($H213&gt;0,'Calculation Constants'!$B$9*Hydraulics!$K213^2/2/9.81/MAX($F$4:$F$253)*$H213,"")</f>
        <v>7.8734226558858159E-2</v>
      </c>
      <c r="AP213" s="19">
        <f t="shared" si="105"/>
        <v>2.2330447107499363</v>
      </c>
      <c r="AQ213" s="19">
        <f t="shared" si="95"/>
        <v>0</v>
      </c>
      <c r="AR213" s="19">
        <f t="shared" si="106"/>
        <v>79.612459201805336</v>
      </c>
      <c r="AS213" s="23">
        <f t="shared" si="96"/>
        <v>1045.4844592018053</v>
      </c>
    </row>
    <row r="214" spans="5:45">
      <c r="E214" s="35" t="str">
        <f t="shared" si="82"/>
        <v/>
      </c>
      <c r="F214" s="19">
        <f>'Profile data'!A214</f>
        <v>422</v>
      </c>
      <c r="G214" s="19">
        <f>VLOOKUP(F214,'Profile data'!A214:C473,IF($B$22="Botswana 1",2,3))</f>
        <v>966.17700000000002</v>
      </c>
      <c r="H214" s="19">
        <f t="shared" si="107"/>
        <v>2</v>
      </c>
      <c r="I214" s="19">
        <v>1.8</v>
      </c>
      <c r="J214" s="36">
        <f>'Flow Rate Calculations'!$B$7</f>
        <v>4.0831050228310497</v>
      </c>
      <c r="K214" s="36">
        <f t="shared" si="97"/>
        <v>1.6045588828318709</v>
      </c>
      <c r="L214" s="37">
        <f>$I214*$K214/'Calculation Constants'!$B$7</f>
        <v>2555934.503625989</v>
      </c>
      <c r="M214" s="37" t="str">
        <f t="shared" si="83"/>
        <v>Greater Dynamic Pressures</v>
      </c>
      <c r="N214" s="23">
        <f t="shared" si="98"/>
        <v>131.8693364961099</v>
      </c>
      <c r="O214" s="55">
        <f t="shared" si="84"/>
        <v>122.07690412056434</v>
      </c>
      <c r="P214" s="64">
        <f>MAX(I214*1000/'Calculation Constants'!$B$14,O214*10*I214*1000/2/('Calculation Constants'!$B$12*1000*'Calculation Constants'!$B$13))</f>
        <v>11.25</v>
      </c>
      <c r="Q214" s="66">
        <f t="shared" si="85"/>
        <v>992548.40161508287</v>
      </c>
      <c r="R214" s="27">
        <f>(1/(2*LOG(3.7*$I214/'Calculation Constants'!$B$2*1000)))^2</f>
        <v>8.7463077071963571E-3</v>
      </c>
      <c r="S214" s="19">
        <f t="shared" si="99"/>
        <v>1.2752477269849725</v>
      </c>
      <c r="T214" s="19">
        <f>IF($H214&gt;0,'Calculation Constants'!$B$9*Hydraulics!$K214^2/2/9.81/MAX($F$4:$F$253)*$H214,"")</f>
        <v>7.8734226558858159E-2</v>
      </c>
      <c r="U214" s="19">
        <f t="shared" si="100"/>
        <v>1.3539819535438307</v>
      </c>
      <c r="V214" s="19">
        <f t="shared" si="86"/>
        <v>0</v>
      </c>
      <c r="W214" s="19">
        <f t="shared" si="87"/>
        <v>131.8693364961099</v>
      </c>
      <c r="X214" s="23">
        <f t="shared" si="88"/>
        <v>1098.0463364961099</v>
      </c>
      <c r="Y214" s="22">
        <f>(1/(2*LOG(3.7*$I214/'Calculation Constants'!$B$3*1000)))^2</f>
        <v>9.8211436332891755E-3</v>
      </c>
      <c r="Z214" s="19">
        <f t="shared" si="89"/>
        <v>1.431963236834217</v>
      </c>
      <c r="AA214" s="19">
        <f>IF($H214&gt;0,'Calculation Constants'!$B$9*Hydraulics!$K214^2/2/9.81/MAX($F$4:$F$253)*$H214,"")</f>
        <v>7.8734226558858159E-2</v>
      </c>
      <c r="AB214" s="19">
        <f t="shared" si="108"/>
        <v>1.5106974633930752</v>
      </c>
      <c r="AC214" s="19">
        <f t="shared" si="90"/>
        <v>0</v>
      </c>
      <c r="AD214" s="19">
        <f t="shared" si="101"/>
        <v>122.07690412056434</v>
      </c>
      <c r="AE214" s="23">
        <f t="shared" si="91"/>
        <v>1088.2539041205644</v>
      </c>
      <c r="AF214" s="27">
        <f>(1/(2*LOG(3.7*$I214/'Calculation Constants'!$B$4*1000)))^2</f>
        <v>1.1575055557914658E-2</v>
      </c>
      <c r="AG214" s="19">
        <f t="shared" si="92"/>
        <v>1.6876908272744866</v>
      </c>
      <c r="AH214" s="19">
        <f>IF($H214&gt;0,'Calculation Constants'!$B$9*Hydraulics!$K214^2/2/9.81/MAX($F$4:$F$253)*$H214,"")</f>
        <v>7.8734226558858159E-2</v>
      </c>
      <c r="AI214" s="19">
        <f t="shared" si="102"/>
        <v>1.7664250538333448</v>
      </c>
      <c r="AJ214" s="19">
        <f t="shared" si="93"/>
        <v>0</v>
      </c>
      <c r="AK214" s="19">
        <f t="shared" si="103"/>
        <v>106.1147902204076</v>
      </c>
      <c r="AL214" s="23">
        <f t="shared" si="94"/>
        <v>1072.2917902204076</v>
      </c>
      <c r="AM214" s="22">
        <f>(1/(2*LOG(3.7*($I214-0.008)/'Calculation Constants'!$B$5*1000)))^2</f>
        <v>1.4709705891825043E-2</v>
      </c>
      <c r="AN214" s="19">
        <f t="shared" si="104"/>
        <v>2.1543104841910781</v>
      </c>
      <c r="AO214" s="19">
        <f>IF($H214&gt;0,'Calculation Constants'!$B$9*Hydraulics!$K214^2/2/9.81/MAX($F$4:$F$253)*$H214,"")</f>
        <v>7.8734226558858159E-2</v>
      </c>
      <c r="AP214" s="19">
        <f t="shared" si="105"/>
        <v>2.2330447107499363</v>
      </c>
      <c r="AQ214" s="19">
        <f t="shared" si="95"/>
        <v>0</v>
      </c>
      <c r="AR214" s="19">
        <f t="shared" si="106"/>
        <v>77.074414491055336</v>
      </c>
      <c r="AS214" s="23">
        <f t="shared" si="96"/>
        <v>1043.2514144910554</v>
      </c>
    </row>
    <row r="215" spans="5:45">
      <c r="E215" s="35" t="str">
        <f t="shared" si="82"/>
        <v/>
      </c>
      <c r="F215" s="19">
        <f>'Profile data'!A215</f>
        <v>424</v>
      </c>
      <c r="G215" s="19">
        <f>VLOOKUP(F215,'Profile data'!A215:C474,IF($B$22="Botswana 1",2,3))</f>
        <v>973.82500000000005</v>
      </c>
      <c r="H215" s="19">
        <f t="shared" si="107"/>
        <v>2</v>
      </c>
      <c r="I215" s="19">
        <v>1.8</v>
      </c>
      <c r="J215" s="36">
        <f>'Flow Rate Calculations'!$B$7</f>
        <v>4.0831050228310497</v>
      </c>
      <c r="K215" s="36">
        <f t="shared" si="97"/>
        <v>1.6045588828318709</v>
      </c>
      <c r="L215" s="37">
        <f>$I215*$K215/'Calculation Constants'!$B$7</f>
        <v>2555934.503625989</v>
      </c>
      <c r="M215" s="37" t="str">
        <f t="shared" si="83"/>
        <v>Greater Dynamic Pressures</v>
      </c>
      <c r="N215" s="23">
        <f t="shared" si="98"/>
        <v>122.86735454256609</v>
      </c>
      <c r="O215" s="55">
        <f t="shared" si="84"/>
        <v>112.91820665717114</v>
      </c>
      <c r="P215" s="64">
        <f>MAX(I215*1000/'Calculation Constants'!$B$14,O215*10*I215*1000/2/('Calculation Constants'!$B$12*1000*'Calculation Constants'!$B$13))</f>
        <v>11.25</v>
      </c>
      <c r="Q215" s="66">
        <f t="shared" si="85"/>
        <v>992548.40161508287</v>
      </c>
      <c r="R215" s="27">
        <f>(1/(2*LOG(3.7*$I215/'Calculation Constants'!$B$2*1000)))^2</f>
        <v>8.7463077071963571E-3</v>
      </c>
      <c r="S215" s="19">
        <f t="shared" si="99"/>
        <v>1.2752477269849725</v>
      </c>
      <c r="T215" s="19">
        <f>IF($H215&gt;0,'Calculation Constants'!$B$9*Hydraulics!$K215^2/2/9.81/MAX($F$4:$F$253)*$H215,"")</f>
        <v>7.8734226558858159E-2</v>
      </c>
      <c r="U215" s="19">
        <f t="shared" si="100"/>
        <v>1.3539819535438307</v>
      </c>
      <c r="V215" s="19">
        <f t="shared" si="86"/>
        <v>0</v>
      </c>
      <c r="W215" s="19">
        <f t="shared" si="87"/>
        <v>122.86735454256609</v>
      </c>
      <c r="X215" s="23">
        <f t="shared" si="88"/>
        <v>1096.6923545425661</v>
      </c>
      <c r="Y215" s="22">
        <f>(1/(2*LOG(3.7*$I215/'Calculation Constants'!$B$3*1000)))^2</f>
        <v>9.8211436332891755E-3</v>
      </c>
      <c r="Z215" s="19">
        <f t="shared" si="89"/>
        <v>1.431963236834217</v>
      </c>
      <c r="AA215" s="19">
        <f>IF($H215&gt;0,'Calculation Constants'!$B$9*Hydraulics!$K215^2/2/9.81/MAX($F$4:$F$253)*$H215,"")</f>
        <v>7.8734226558858159E-2</v>
      </c>
      <c r="AB215" s="19">
        <f t="shared" si="108"/>
        <v>1.5106974633930752</v>
      </c>
      <c r="AC215" s="19">
        <f t="shared" si="90"/>
        <v>0</v>
      </c>
      <c r="AD215" s="19">
        <f t="shared" si="101"/>
        <v>112.91820665717114</v>
      </c>
      <c r="AE215" s="23">
        <f t="shared" si="91"/>
        <v>1086.7432066571712</v>
      </c>
      <c r="AF215" s="27">
        <f>(1/(2*LOG(3.7*$I215/'Calculation Constants'!$B$4*1000)))^2</f>
        <v>1.1575055557914658E-2</v>
      </c>
      <c r="AG215" s="19">
        <f t="shared" si="92"/>
        <v>1.6876908272744866</v>
      </c>
      <c r="AH215" s="19">
        <f>IF($H215&gt;0,'Calculation Constants'!$B$9*Hydraulics!$K215^2/2/9.81/MAX($F$4:$F$253)*$H215,"")</f>
        <v>7.8734226558858159E-2</v>
      </c>
      <c r="AI215" s="19">
        <f t="shared" si="102"/>
        <v>1.7664250538333448</v>
      </c>
      <c r="AJ215" s="19">
        <f t="shared" si="93"/>
        <v>0</v>
      </c>
      <c r="AK215" s="19">
        <f t="shared" si="103"/>
        <v>96.700365166574329</v>
      </c>
      <c r="AL215" s="23">
        <f t="shared" si="94"/>
        <v>1070.5253651665744</v>
      </c>
      <c r="AM215" s="22">
        <f>(1/(2*LOG(3.7*($I215-0.008)/'Calculation Constants'!$B$5*1000)))^2</f>
        <v>1.4709705891825043E-2</v>
      </c>
      <c r="AN215" s="19">
        <f t="shared" si="104"/>
        <v>2.1543104841910781</v>
      </c>
      <c r="AO215" s="19">
        <f>IF($H215&gt;0,'Calculation Constants'!$B$9*Hydraulics!$K215^2/2/9.81/MAX($F$4:$F$253)*$H215,"")</f>
        <v>7.8734226558858159E-2</v>
      </c>
      <c r="AP215" s="19">
        <f t="shared" si="105"/>
        <v>2.2330447107499363</v>
      </c>
      <c r="AQ215" s="19">
        <f t="shared" si="95"/>
        <v>0</v>
      </c>
      <c r="AR215" s="19">
        <f t="shared" si="106"/>
        <v>67.193369780305375</v>
      </c>
      <c r="AS215" s="23">
        <f t="shared" si="96"/>
        <v>1041.0183697803054</v>
      </c>
    </row>
    <row r="216" spans="5:45">
      <c r="E216" s="35" t="str">
        <f t="shared" si="82"/>
        <v/>
      </c>
      <c r="F216" s="19">
        <f>'Profile data'!A216</f>
        <v>426</v>
      </c>
      <c r="G216" s="19">
        <f>VLOOKUP(F216,'Profile data'!A216:C475,IF($B$22="Botswana 1",2,3))</f>
        <v>983.97199999999998</v>
      </c>
      <c r="H216" s="19">
        <f t="shared" si="107"/>
        <v>2</v>
      </c>
      <c r="I216" s="19">
        <v>1.8</v>
      </c>
      <c r="J216" s="36">
        <f>'Flow Rate Calculations'!$B$7</f>
        <v>4.0831050228310497</v>
      </c>
      <c r="K216" s="36">
        <f t="shared" si="97"/>
        <v>1.6045588828318709</v>
      </c>
      <c r="L216" s="37">
        <f>$I216*$K216/'Calculation Constants'!$B$7</f>
        <v>2555934.503625989</v>
      </c>
      <c r="M216" s="37" t="str">
        <f t="shared" si="83"/>
        <v>Greater Dynamic Pressures</v>
      </c>
      <c r="N216" s="23">
        <f t="shared" si="98"/>
        <v>111.36637258902238</v>
      </c>
      <c r="O216" s="55">
        <f t="shared" si="84"/>
        <v>101.26050919377803</v>
      </c>
      <c r="P216" s="64">
        <f>MAX(I216*1000/'Calculation Constants'!$B$14,O216*10*I216*1000/2/('Calculation Constants'!$B$12*1000*'Calculation Constants'!$B$13))</f>
        <v>11.25</v>
      </c>
      <c r="Q216" s="66">
        <f t="shared" si="85"/>
        <v>992548.40161508287</v>
      </c>
      <c r="R216" s="27">
        <f>(1/(2*LOG(3.7*$I216/'Calculation Constants'!$B$2*1000)))^2</f>
        <v>8.7463077071963571E-3</v>
      </c>
      <c r="S216" s="19">
        <f t="shared" si="99"/>
        <v>1.2752477269849725</v>
      </c>
      <c r="T216" s="19">
        <f>IF($H216&gt;0,'Calculation Constants'!$B$9*Hydraulics!$K216^2/2/9.81/MAX($F$4:$F$253)*$H216,"")</f>
        <v>7.8734226558858159E-2</v>
      </c>
      <c r="U216" s="19">
        <f t="shared" si="100"/>
        <v>1.3539819535438307</v>
      </c>
      <c r="V216" s="19">
        <f t="shared" si="86"/>
        <v>0</v>
      </c>
      <c r="W216" s="19">
        <f t="shared" si="87"/>
        <v>111.36637258902238</v>
      </c>
      <c r="X216" s="23">
        <f t="shared" si="88"/>
        <v>1095.3383725890224</v>
      </c>
      <c r="Y216" s="22">
        <f>(1/(2*LOG(3.7*$I216/'Calculation Constants'!$B$3*1000)))^2</f>
        <v>9.8211436332891755E-3</v>
      </c>
      <c r="Z216" s="19">
        <f t="shared" si="89"/>
        <v>1.431963236834217</v>
      </c>
      <c r="AA216" s="19">
        <f>IF($H216&gt;0,'Calculation Constants'!$B$9*Hydraulics!$K216^2/2/9.81/MAX($F$4:$F$253)*$H216,"")</f>
        <v>7.8734226558858159E-2</v>
      </c>
      <c r="AB216" s="19">
        <f t="shared" si="108"/>
        <v>1.5106974633930752</v>
      </c>
      <c r="AC216" s="19">
        <f t="shared" si="90"/>
        <v>0</v>
      </c>
      <c r="AD216" s="19">
        <f t="shared" si="101"/>
        <v>101.26050919377803</v>
      </c>
      <c r="AE216" s="23">
        <f t="shared" si="91"/>
        <v>1085.232509193778</v>
      </c>
      <c r="AF216" s="27">
        <f>(1/(2*LOG(3.7*$I216/'Calculation Constants'!$B$4*1000)))^2</f>
        <v>1.1575055557914658E-2</v>
      </c>
      <c r="AG216" s="19">
        <f t="shared" si="92"/>
        <v>1.6876908272744866</v>
      </c>
      <c r="AH216" s="19">
        <f>IF($H216&gt;0,'Calculation Constants'!$B$9*Hydraulics!$K216^2/2/9.81/MAX($F$4:$F$253)*$H216,"")</f>
        <v>7.8734226558858159E-2</v>
      </c>
      <c r="AI216" s="19">
        <f t="shared" si="102"/>
        <v>1.7664250538333448</v>
      </c>
      <c r="AJ216" s="19">
        <f t="shared" si="93"/>
        <v>0</v>
      </c>
      <c r="AK216" s="19">
        <f t="shared" si="103"/>
        <v>84.786940112741149</v>
      </c>
      <c r="AL216" s="23">
        <f t="shared" si="94"/>
        <v>1068.7589401127411</v>
      </c>
      <c r="AM216" s="22">
        <f>(1/(2*LOG(3.7*($I216-0.008)/'Calculation Constants'!$B$5*1000)))^2</f>
        <v>1.4709705891825043E-2</v>
      </c>
      <c r="AN216" s="19">
        <f t="shared" si="104"/>
        <v>2.1543104841910781</v>
      </c>
      <c r="AO216" s="19">
        <f>IF($H216&gt;0,'Calculation Constants'!$B$9*Hydraulics!$K216^2/2/9.81/MAX($F$4:$F$253)*$H216,"")</f>
        <v>7.8734226558858159E-2</v>
      </c>
      <c r="AP216" s="19">
        <f t="shared" si="105"/>
        <v>2.2330447107499363</v>
      </c>
      <c r="AQ216" s="19">
        <f t="shared" si="95"/>
        <v>0</v>
      </c>
      <c r="AR216" s="19">
        <f t="shared" si="106"/>
        <v>54.813325069555503</v>
      </c>
      <c r="AS216" s="23">
        <f t="shared" si="96"/>
        <v>1038.7853250695555</v>
      </c>
    </row>
    <row r="217" spans="5:45">
      <c r="E217" s="35" t="str">
        <f t="shared" si="82"/>
        <v/>
      </c>
      <c r="F217" s="19">
        <f>'Profile data'!A217</f>
        <v>428</v>
      </c>
      <c r="G217" s="19">
        <f>VLOOKUP(F217,'Profile data'!A217:C476,IF($B$22="Botswana 1",2,3))</f>
        <v>994.096</v>
      </c>
      <c r="H217" s="19">
        <f t="shared" si="107"/>
        <v>2</v>
      </c>
      <c r="I217" s="19">
        <v>1.8</v>
      </c>
      <c r="J217" s="36">
        <f>'Flow Rate Calculations'!$B$7</f>
        <v>4.0831050228310497</v>
      </c>
      <c r="K217" s="36">
        <f t="shared" si="97"/>
        <v>1.6045588828318709</v>
      </c>
      <c r="L217" s="37">
        <f>$I217*$K217/'Calculation Constants'!$B$7</f>
        <v>2555934.503625989</v>
      </c>
      <c r="M217" s="37" t="str">
        <f t="shared" si="83"/>
        <v>Greater Dynamic Pressures</v>
      </c>
      <c r="N217" s="23">
        <f t="shared" si="98"/>
        <v>99.888390635478572</v>
      </c>
      <c r="O217" s="55">
        <f t="shared" si="84"/>
        <v>89.625811730384839</v>
      </c>
      <c r="P217" s="64">
        <f>MAX(I217*1000/'Calculation Constants'!$B$14,O217*10*I217*1000/2/('Calculation Constants'!$B$12*1000*'Calculation Constants'!$B$13))</f>
        <v>11.25</v>
      </c>
      <c r="Q217" s="66">
        <f t="shared" si="85"/>
        <v>992548.40161508287</v>
      </c>
      <c r="R217" s="27">
        <f>(1/(2*LOG(3.7*$I217/'Calculation Constants'!$B$2*1000)))^2</f>
        <v>8.7463077071963571E-3</v>
      </c>
      <c r="S217" s="19">
        <f t="shared" si="99"/>
        <v>1.2752477269849725</v>
      </c>
      <c r="T217" s="19">
        <f>IF($H217&gt;0,'Calculation Constants'!$B$9*Hydraulics!$K217^2/2/9.81/MAX($F$4:$F$253)*$H217,"")</f>
        <v>7.8734226558858159E-2</v>
      </c>
      <c r="U217" s="19">
        <f t="shared" si="100"/>
        <v>1.3539819535438307</v>
      </c>
      <c r="V217" s="19">
        <f t="shared" si="86"/>
        <v>0</v>
      </c>
      <c r="W217" s="19">
        <f t="shared" si="87"/>
        <v>99.888390635478572</v>
      </c>
      <c r="X217" s="23">
        <f t="shared" si="88"/>
        <v>1093.9843906354786</v>
      </c>
      <c r="Y217" s="22">
        <f>(1/(2*LOG(3.7*$I217/'Calculation Constants'!$B$3*1000)))^2</f>
        <v>9.8211436332891755E-3</v>
      </c>
      <c r="Z217" s="19">
        <f t="shared" si="89"/>
        <v>1.431963236834217</v>
      </c>
      <c r="AA217" s="19">
        <f>IF($H217&gt;0,'Calculation Constants'!$B$9*Hydraulics!$K217^2/2/9.81/MAX($F$4:$F$253)*$H217,"")</f>
        <v>7.8734226558858159E-2</v>
      </c>
      <c r="AB217" s="19">
        <f t="shared" si="108"/>
        <v>1.5106974633930752</v>
      </c>
      <c r="AC217" s="19">
        <f t="shared" si="90"/>
        <v>0</v>
      </c>
      <c r="AD217" s="19">
        <f t="shared" si="101"/>
        <v>89.625811730384839</v>
      </c>
      <c r="AE217" s="23">
        <f t="shared" si="91"/>
        <v>1083.7218117303848</v>
      </c>
      <c r="AF217" s="27">
        <f>(1/(2*LOG(3.7*$I217/'Calculation Constants'!$B$4*1000)))^2</f>
        <v>1.1575055557914658E-2</v>
      </c>
      <c r="AG217" s="19">
        <f t="shared" si="92"/>
        <v>1.6876908272744866</v>
      </c>
      <c r="AH217" s="19">
        <f>IF($H217&gt;0,'Calculation Constants'!$B$9*Hydraulics!$K217^2/2/9.81/MAX($F$4:$F$253)*$H217,"")</f>
        <v>7.8734226558858159E-2</v>
      </c>
      <c r="AI217" s="19">
        <f t="shared" si="102"/>
        <v>1.7664250538333448</v>
      </c>
      <c r="AJ217" s="19">
        <f t="shared" si="93"/>
        <v>0</v>
      </c>
      <c r="AK217" s="19">
        <f t="shared" si="103"/>
        <v>72.89651505890788</v>
      </c>
      <c r="AL217" s="23">
        <f t="shared" si="94"/>
        <v>1066.9925150589079</v>
      </c>
      <c r="AM217" s="22">
        <f>(1/(2*LOG(3.7*($I217-0.008)/'Calculation Constants'!$B$5*1000)))^2</f>
        <v>1.4709705891825043E-2</v>
      </c>
      <c r="AN217" s="19">
        <f t="shared" si="104"/>
        <v>2.1543104841910781</v>
      </c>
      <c r="AO217" s="19">
        <f>IF($H217&gt;0,'Calculation Constants'!$B$9*Hydraulics!$K217^2/2/9.81/MAX($F$4:$F$253)*$H217,"")</f>
        <v>7.8734226558858159E-2</v>
      </c>
      <c r="AP217" s="19">
        <f t="shared" si="105"/>
        <v>2.2330447107499363</v>
      </c>
      <c r="AQ217" s="19">
        <f t="shared" si="95"/>
        <v>0</v>
      </c>
      <c r="AR217" s="19">
        <f t="shared" si="106"/>
        <v>42.456280358805543</v>
      </c>
      <c r="AS217" s="23">
        <f t="shared" si="96"/>
        <v>1036.5522803588055</v>
      </c>
    </row>
    <row r="218" spans="5:45">
      <c r="E218" s="35" t="str">
        <f t="shared" si="82"/>
        <v/>
      </c>
      <c r="F218" s="19">
        <f>'Profile data'!A218</f>
        <v>430</v>
      </c>
      <c r="G218" s="19">
        <f>VLOOKUP(F218,'Profile data'!A218:C477,IF($B$22="Botswana 1",2,3))</f>
        <v>991.69500000000005</v>
      </c>
      <c r="H218" s="19">
        <f t="shared" si="107"/>
        <v>2</v>
      </c>
      <c r="I218" s="19">
        <v>1.8</v>
      </c>
      <c r="J218" s="36">
        <f>'Flow Rate Calculations'!$B$7</f>
        <v>4.0831050228310497</v>
      </c>
      <c r="K218" s="36">
        <f t="shared" si="97"/>
        <v>1.6045588828318709</v>
      </c>
      <c r="L218" s="37">
        <f>$I218*$K218/'Calculation Constants'!$B$7</f>
        <v>2555934.503625989</v>
      </c>
      <c r="M218" s="37" t="str">
        <f t="shared" si="83"/>
        <v>Greater Dynamic Pressures</v>
      </c>
      <c r="N218" s="23">
        <f t="shared" si="98"/>
        <v>100.93540868193475</v>
      </c>
      <c r="O218" s="55">
        <f t="shared" si="84"/>
        <v>90.516114266991622</v>
      </c>
      <c r="P218" s="64">
        <f>MAX(I218*1000/'Calculation Constants'!$B$14,O218*10*I218*1000/2/('Calculation Constants'!$B$12*1000*'Calculation Constants'!$B$13))</f>
        <v>11.25</v>
      </c>
      <c r="Q218" s="66">
        <f t="shared" si="85"/>
        <v>992548.40161508287</v>
      </c>
      <c r="R218" s="27">
        <f>(1/(2*LOG(3.7*$I218/'Calculation Constants'!$B$2*1000)))^2</f>
        <v>8.7463077071963571E-3</v>
      </c>
      <c r="S218" s="19">
        <f t="shared" si="99"/>
        <v>1.2752477269849725</v>
      </c>
      <c r="T218" s="19">
        <f>IF($H218&gt;0,'Calculation Constants'!$B$9*Hydraulics!$K218^2/2/9.81/MAX($F$4:$F$253)*$H218,"")</f>
        <v>7.8734226558858159E-2</v>
      </c>
      <c r="U218" s="19">
        <f t="shared" si="100"/>
        <v>1.3539819535438307</v>
      </c>
      <c r="V218" s="19">
        <f t="shared" si="86"/>
        <v>0</v>
      </c>
      <c r="W218" s="19">
        <f t="shared" si="87"/>
        <v>100.93540868193475</v>
      </c>
      <c r="X218" s="23">
        <f t="shared" si="88"/>
        <v>1092.6304086819348</v>
      </c>
      <c r="Y218" s="22">
        <f>(1/(2*LOG(3.7*$I218/'Calculation Constants'!$B$3*1000)))^2</f>
        <v>9.8211436332891755E-3</v>
      </c>
      <c r="Z218" s="19">
        <f t="shared" si="89"/>
        <v>1.431963236834217</v>
      </c>
      <c r="AA218" s="19">
        <f>IF($H218&gt;0,'Calculation Constants'!$B$9*Hydraulics!$K218^2/2/9.81/MAX($F$4:$F$253)*$H218,"")</f>
        <v>7.8734226558858159E-2</v>
      </c>
      <c r="AB218" s="19">
        <f t="shared" si="108"/>
        <v>1.5106974633930752</v>
      </c>
      <c r="AC218" s="19">
        <f t="shared" si="90"/>
        <v>0</v>
      </c>
      <c r="AD218" s="19">
        <f t="shared" si="101"/>
        <v>90.516114266991622</v>
      </c>
      <c r="AE218" s="23">
        <f t="shared" si="91"/>
        <v>1082.2111142669917</v>
      </c>
      <c r="AF218" s="27">
        <f>(1/(2*LOG(3.7*$I218/'Calculation Constants'!$B$4*1000)))^2</f>
        <v>1.1575055557914658E-2</v>
      </c>
      <c r="AG218" s="19">
        <f t="shared" si="92"/>
        <v>1.6876908272744866</v>
      </c>
      <c r="AH218" s="19">
        <f>IF($H218&gt;0,'Calculation Constants'!$B$9*Hydraulics!$K218^2/2/9.81/MAX($F$4:$F$253)*$H218,"")</f>
        <v>7.8734226558858159E-2</v>
      </c>
      <c r="AI218" s="19">
        <f t="shared" si="102"/>
        <v>1.7664250538333448</v>
      </c>
      <c r="AJ218" s="19">
        <f t="shared" si="93"/>
        <v>0</v>
      </c>
      <c r="AK218" s="19">
        <f t="shared" si="103"/>
        <v>73.531090005074589</v>
      </c>
      <c r="AL218" s="23">
        <f t="shared" si="94"/>
        <v>1065.2260900050746</v>
      </c>
      <c r="AM218" s="22">
        <f>(1/(2*LOG(3.7*($I218-0.008)/'Calculation Constants'!$B$5*1000)))^2</f>
        <v>1.4709705891825043E-2</v>
      </c>
      <c r="AN218" s="19">
        <f t="shared" si="104"/>
        <v>2.1543104841910781</v>
      </c>
      <c r="AO218" s="19">
        <f>IF($H218&gt;0,'Calculation Constants'!$B$9*Hydraulics!$K218^2/2/9.81/MAX($F$4:$F$253)*$H218,"")</f>
        <v>7.8734226558858159E-2</v>
      </c>
      <c r="AP218" s="19">
        <f t="shared" si="105"/>
        <v>2.2330447107499363</v>
      </c>
      <c r="AQ218" s="19">
        <f t="shared" si="95"/>
        <v>0</v>
      </c>
      <c r="AR218" s="19">
        <f t="shared" si="106"/>
        <v>42.62423564805556</v>
      </c>
      <c r="AS218" s="23">
        <f t="shared" si="96"/>
        <v>1034.3192356480556</v>
      </c>
    </row>
    <row r="219" spans="5:45">
      <c r="E219" s="35" t="str">
        <f t="shared" si="82"/>
        <v/>
      </c>
      <c r="F219" s="19">
        <f>'Profile data'!A219</f>
        <v>432</v>
      </c>
      <c r="G219" s="19">
        <f>VLOOKUP(F219,'Profile data'!A219:C478,IF($B$22="Botswana 1",2,3))</f>
        <v>984.93299999999999</v>
      </c>
      <c r="H219" s="19">
        <f t="shared" si="107"/>
        <v>2</v>
      </c>
      <c r="I219" s="19">
        <v>1.8</v>
      </c>
      <c r="J219" s="36">
        <f>'Flow Rate Calculations'!$B$7</f>
        <v>4.0831050228310497</v>
      </c>
      <c r="K219" s="36">
        <f t="shared" si="97"/>
        <v>1.6045588828318709</v>
      </c>
      <c r="L219" s="37">
        <f>$I219*$K219/'Calculation Constants'!$B$7</f>
        <v>2555934.503625989</v>
      </c>
      <c r="M219" s="37" t="str">
        <f t="shared" si="83"/>
        <v>Greater Dynamic Pressures</v>
      </c>
      <c r="N219" s="23">
        <f t="shared" si="98"/>
        <v>106.34342672839102</v>
      </c>
      <c r="O219" s="55">
        <f t="shared" si="84"/>
        <v>95.767416803598508</v>
      </c>
      <c r="P219" s="64">
        <f>MAX(I219*1000/'Calculation Constants'!$B$14,O219*10*I219*1000/2/('Calculation Constants'!$B$12*1000*'Calculation Constants'!$B$13))</f>
        <v>11.25</v>
      </c>
      <c r="Q219" s="66">
        <f t="shared" si="85"/>
        <v>992548.40161508287</v>
      </c>
      <c r="R219" s="27">
        <f>(1/(2*LOG(3.7*$I219/'Calculation Constants'!$B$2*1000)))^2</f>
        <v>8.7463077071963571E-3</v>
      </c>
      <c r="S219" s="19">
        <f t="shared" si="99"/>
        <v>1.2752477269849725</v>
      </c>
      <c r="T219" s="19">
        <f>IF($H219&gt;0,'Calculation Constants'!$B$9*Hydraulics!$K219^2/2/9.81/MAX($F$4:$F$253)*$H219,"")</f>
        <v>7.8734226558858159E-2</v>
      </c>
      <c r="U219" s="19">
        <f t="shared" si="100"/>
        <v>1.3539819535438307</v>
      </c>
      <c r="V219" s="19">
        <f t="shared" si="86"/>
        <v>0</v>
      </c>
      <c r="W219" s="19">
        <f t="shared" si="87"/>
        <v>106.34342672839102</v>
      </c>
      <c r="X219" s="23">
        <f t="shared" si="88"/>
        <v>1091.276426728391</v>
      </c>
      <c r="Y219" s="22">
        <f>(1/(2*LOG(3.7*$I219/'Calculation Constants'!$B$3*1000)))^2</f>
        <v>9.8211436332891755E-3</v>
      </c>
      <c r="Z219" s="19">
        <f t="shared" si="89"/>
        <v>1.431963236834217</v>
      </c>
      <c r="AA219" s="19">
        <f>IF($H219&gt;0,'Calculation Constants'!$B$9*Hydraulics!$K219^2/2/9.81/MAX($F$4:$F$253)*$H219,"")</f>
        <v>7.8734226558858159E-2</v>
      </c>
      <c r="AB219" s="19">
        <f t="shared" si="108"/>
        <v>1.5106974633930752</v>
      </c>
      <c r="AC219" s="19">
        <f t="shared" si="90"/>
        <v>0</v>
      </c>
      <c r="AD219" s="19">
        <f t="shared" si="101"/>
        <v>95.767416803598508</v>
      </c>
      <c r="AE219" s="23">
        <f t="shared" si="91"/>
        <v>1080.7004168035985</v>
      </c>
      <c r="AF219" s="27">
        <f>(1/(2*LOG(3.7*$I219/'Calculation Constants'!$B$4*1000)))^2</f>
        <v>1.1575055557914658E-2</v>
      </c>
      <c r="AG219" s="19">
        <f t="shared" si="92"/>
        <v>1.6876908272744866</v>
      </c>
      <c r="AH219" s="19">
        <f>IF($H219&gt;0,'Calculation Constants'!$B$9*Hydraulics!$K219^2/2/9.81/MAX($F$4:$F$253)*$H219,"")</f>
        <v>7.8734226558858159E-2</v>
      </c>
      <c r="AI219" s="19">
        <f t="shared" si="102"/>
        <v>1.7664250538333448</v>
      </c>
      <c r="AJ219" s="19">
        <f t="shared" si="93"/>
        <v>0</v>
      </c>
      <c r="AK219" s="19">
        <f t="shared" si="103"/>
        <v>78.526664951241401</v>
      </c>
      <c r="AL219" s="23">
        <f t="shared" si="94"/>
        <v>1063.4596649512414</v>
      </c>
      <c r="AM219" s="22">
        <f>(1/(2*LOG(3.7*($I219-0.008)/'Calculation Constants'!$B$5*1000)))^2</f>
        <v>1.4709705891825043E-2</v>
      </c>
      <c r="AN219" s="19">
        <f t="shared" si="104"/>
        <v>2.1543104841910781</v>
      </c>
      <c r="AO219" s="19">
        <f>IF($H219&gt;0,'Calculation Constants'!$B$9*Hydraulics!$K219^2/2/9.81/MAX($F$4:$F$253)*$H219,"")</f>
        <v>7.8734226558858159E-2</v>
      </c>
      <c r="AP219" s="19">
        <f t="shared" si="105"/>
        <v>2.2330447107499363</v>
      </c>
      <c r="AQ219" s="19">
        <f t="shared" si="95"/>
        <v>0</v>
      </c>
      <c r="AR219" s="19">
        <f t="shared" si="106"/>
        <v>47.153190937305681</v>
      </c>
      <c r="AS219" s="23">
        <f t="shared" si="96"/>
        <v>1032.0861909373057</v>
      </c>
    </row>
    <row r="220" spans="5:45">
      <c r="E220" s="35" t="str">
        <f t="shared" si="82"/>
        <v/>
      </c>
      <c r="F220" s="19">
        <f>'Profile data'!A220</f>
        <v>434</v>
      </c>
      <c r="G220" s="19">
        <f>VLOOKUP(F220,'Profile data'!A220:C479,IF($B$22="Botswana 1",2,3))</f>
        <v>974.50900000000001</v>
      </c>
      <c r="H220" s="19">
        <f t="shared" si="107"/>
        <v>2</v>
      </c>
      <c r="I220" s="19">
        <v>1.8</v>
      </c>
      <c r="J220" s="36">
        <f>'Flow Rate Calculations'!$B$7</f>
        <v>4.0831050228310497</v>
      </c>
      <c r="K220" s="36">
        <f t="shared" si="97"/>
        <v>1.6045588828318709</v>
      </c>
      <c r="L220" s="37">
        <f>$I220*$K220/'Calculation Constants'!$B$7</f>
        <v>2555934.503625989</v>
      </c>
      <c r="M220" s="37" t="str">
        <f t="shared" si="83"/>
        <v>Greater Dynamic Pressures</v>
      </c>
      <c r="N220" s="23">
        <f t="shared" si="98"/>
        <v>115.41344477484722</v>
      </c>
      <c r="O220" s="55">
        <f t="shared" si="84"/>
        <v>104.68071934020531</v>
      </c>
      <c r="P220" s="64">
        <f>MAX(I220*1000/'Calculation Constants'!$B$14,O220*10*I220*1000/2/('Calculation Constants'!$B$12*1000*'Calculation Constants'!$B$13))</f>
        <v>11.25</v>
      </c>
      <c r="Q220" s="66">
        <f t="shared" si="85"/>
        <v>992548.40161508287</v>
      </c>
      <c r="R220" s="27">
        <f>(1/(2*LOG(3.7*$I220/'Calculation Constants'!$B$2*1000)))^2</f>
        <v>8.7463077071963571E-3</v>
      </c>
      <c r="S220" s="19">
        <f t="shared" si="99"/>
        <v>1.2752477269849725</v>
      </c>
      <c r="T220" s="19">
        <f>IF($H220&gt;0,'Calculation Constants'!$B$9*Hydraulics!$K220^2/2/9.81/MAX($F$4:$F$253)*$H220,"")</f>
        <v>7.8734226558858159E-2</v>
      </c>
      <c r="U220" s="19">
        <f t="shared" si="100"/>
        <v>1.3539819535438307</v>
      </c>
      <c r="V220" s="19">
        <f t="shared" si="86"/>
        <v>0</v>
      </c>
      <c r="W220" s="19">
        <f t="shared" si="87"/>
        <v>115.41344477484722</v>
      </c>
      <c r="X220" s="23">
        <f t="shared" si="88"/>
        <v>1089.9224447748472</v>
      </c>
      <c r="Y220" s="22">
        <f>(1/(2*LOG(3.7*$I220/'Calculation Constants'!$B$3*1000)))^2</f>
        <v>9.8211436332891755E-3</v>
      </c>
      <c r="Z220" s="19">
        <f t="shared" si="89"/>
        <v>1.431963236834217</v>
      </c>
      <c r="AA220" s="19">
        <f>IF($H220&gt;0,'Calculation Constants'!$B$9*Hydraulics!$K220^2/2/9.81/MAX($F$4:$F$253)*$H220,"")</f>
        <v>7.8734226558858159E-2</v>
      </c>
      <c r="AB220" s="19">
        <f t="shared" si="108"/>
        <v>1.5106974633930752</v>
      </c>
      <c r="AC220" s="19">
        <f t="shared" si="90"/>
        <v>0</v>
      </c>
      <c r="AD220" s="19">
        <f t="shared" si="101"/>
        <v>104.68071934020531</v>
      </c>
      <c r="AE220" s="23">
        <f t="shared" si="91"/>
        <v>1079.1897193402053</v>
      </c>
      <c r="AF220" s="27">
        <f>(1/(2*LOG(3.7*$I220/'Calculation Constants'!$B$4*1000)))^2</f>
        <v>1.1575055557914658E-2</v>
      </c>
      <c r="AG220" s="19">
        <f t="shared" si="92"/>
        <v>1.6876908272744866</v>
      </c>
      <c r="AH220" s="19">
        <f>IF($H220&gt;0,'Calculation Constants'!$B$9*Hydraulics!$K220^2/2/9.81/MAX($F$4:$F$253)*$H220,"")</f>
        <v>7.8734226558858159E-2</v>
      </c>
      <c r="AI220" s="19">
        <f t="shared" si="102"/>
        <v>1.7664250538333448</v>
      </c>
      <c r="AJ220" s="19">
        <f t="shared" si="93"/>
        <v>0</v>
      </c>
      <c r="AK220" s="19">
        <f t="shared" si="103"/>
        <v>87.184239897408133</v>
      </c>
      <c r="AL220" s="23">
        <f t="shared" si="94"/>
        <v>1061.6932398974081</v>
      </c>
      <c r="AM220" s="22">
        <f>(1/(2*LOG(3.7*($I220-0.008)/'Calculation Constants'!$B$5*1000)))^2</f>
        <v>1.4709705891825043E-2</v>
      </c>
      <c r="AN220" s="19">
        <f t="shared" si="104"/>
        <v>2.1543104841910781</v>
      </c>
      <c r="AO220" s="19">
        <f>IF($H220&gt;0,'Calculation Constants'!$B$9*Hydraulics!$K220^2/2/9.81/MAX($F$4:$F$253)*$H220,"")</f>
        <v>7.8734226558858159E-2</v>
      </c>
      <c r="AP220" s="19">
        <f t="shared" si="105"/>
        <v>2.2330447107499363</v>
      </c>
      <c r="AQ220" s="19">
        <f t="shared" si="95"/>
        <v>0</v>
      </c>
      <c r="AR220" s="19">
        <f t="shared" si="106"/>
        <v>55.344146226555722</v>
      </c>
      <c r="AS220" s="23">
        <f t="shared" si="96"/>
        <v>1029.8531462265557</v>
      </c>
    </row>
    <row r="221" spans="5:45">
      <c r="E221" s="35" t="str">
        <f t="shared" si="82"/>
        <v/>
      </c>
      <c r="F221" s="19">
        <f>'Profile data'!A221</f>
        <v>436</v>
      </c>
      <c r="G221" s="19">
        <f>VLOOKUP(F221,'Profile data'!A221:C480,IF($B$22="Botswana 1",2,3))</f>
        <v>966.69799999999998</v>
      </c>
      <c r="H221" s="19">
        <f t="shared" si="107"/>
        <v>2</v>
      </c>
      <c r="I221" s="19">
        <v>1.8</v>
      </c>
      <c r="J221" s="36">
        <f>'Flow Rate Calculations'!$B$7</f>
        <v>4.0831050228310497</v>
      </c>
      <c r="K221" s="36">
        <f t="shared" si="97"/>
        <v>1.6045588828318709</v>
      </c>
      <c r="L221" s="37">
        <f>$I221*$K221/'Calculation Constants'!$B$7</f>
        <v>2555934.503625989</v>
      </c>
      <c r="M221" s="37" t="str">
        <f t="shared" si="83"/>
        <v>Greater Dynamic Pressures</v>
      </c>
      <c r="N221" s="23">
        <f t="shared" si="98"/>
        <v>121.87046282130348</v>
      </c>
      <c r="O221" s="55">
        <f t="shared" si="84"/>
        <v>110.98102187681218</v>
      </c>
      <c r="P221" s="64">
        <f>MAX(I221*1000/'Calculation Constants'!$B$14,O221*10*I221*1000/2/('Calculation Constants'!$B$12*1000*'Calculation Constants'!$B$13))</f>
        <v>11.25</v>
      </c>
      <c r="Q221" s="66">
        <f t="shared" si="85"/>
        <v>992548.40161508287</v>
      </c>
      <c r="R221" s="27">
        <f>(1/(2*LOG(3.7*$I221/'Calculation Constants'!$B$2*1000)))^2</f>
        <v>8.7463077071963571E-3</v>
      </c>
      <c r="S221" s="19">
        <f t="shared" si="99"/>
        <v>1.2752477269849725</v>
      </c>
      <c r="T221" s="19">
        <f>IF($H221&gt;0,'Calculation Constants'!$B$9*Hydraulics!$K221^2/2/9.81/MAX($F$4:$F$253)*$H221,"")</f>
        <v>7.8734226558858159E-2</v>
      </c>
      <c r="U221" s="19">
        <f t="shared" si="100"/>
        <v>1.3539819535438307</v>
      </c>
      <c r="V221" s="19">
        <f t="shared" si="86"/>
        <v>0</v>
      </c>
      <c r="W221" s="19">
        <f t="shared" si="87"/>
        <v>121.87046282130348</v>
      </c>
      <c r="X221" s="23">
        <f t="shared" si="88"/>
        <v>1088.5684628213035</v>
      </c>
      <c r="Y221" s="22">
        <f>(1/(2*LOG(3.7*$I221/'Calculation Constants'!$B$3*1000)))^2</f>
        <v>9.8211436332891755E-3</v>
      </c>
      <c r="Z221" s="19">
        <f t="shared" si="89"/>
        <v>1.431963236834217</v>
      </c>
      <c r="AA221" s="19">
        <f>IF($H221&gt;0,'Calculation Constants'!$B$9*Hydraulics!$K221^2/2/9.81/MAX($F$4:$F$253)*$H221,"")</f>
        <v>7.8734226558858159E-2</v>
      </c>
      <c r="AB221" s="19">
        <f t="shared" si="108"/>
        <v>1.5106974633930752</v>
      </c>
      <c r="AC221" s="19">
        <f t="shared" si="90"/>
        <v>0</v>
      </c>
      <c r="AD221" s="19">
        <f t="shared" si="101"/>
        <v>110.98102187681218</v>
      </c>
      <c r="AE221" s="23">
        <f t="shared" si="91"/>
        <v>1077.6790218768122</v>
      </c>
      <c r="AF221" s="27">
        <f>(1/(2*LOG(3.7*$I221/'Calculation Constants'!$B$4*1000)))^2</f>
        <v>1.1575055557914658E-2</v>
      </c>
      <c r="AG221" s="19">
        <f t="shared" si="92"/>
        <v>1.6876908272744866</v>
      </c>
      <c r="AH221" s="19">
        <f>IF($H221&gt;0,'Calculation Constants'!$B$9*Hydraulics!$K221^2/2/9.81/MAX($F$4:$F$253)*$H221,"")</f>
        <v>7.8734226558858159E-2</v>
      </c>
      <c r="AI221" s="19">
        <f t="shared" si="102"/>
        <v>1.7664250538333448</v>
      </c>
      <c r="AJ221" s="19">
        <f t="shared" si="93"/>
        <v>0</v>
      </c>
      <c r="AK221" s="19">
        <f t="shared" si="103"/>
        <v>93.228814843574924</v>
      </c>
      <c r="AL221" s="23">
        <f t="shared" si="94"/>
        <v>1059.9268148435749</v>
      </c>
      <c r="AM221" s="22">
        <f>(1/(2*LOG(3.7*($I221-0.008)/'Calculation Constants'!$B$5*1000)))^2</f>
        <v>1.4709705891825043E-2</v>
      </c>
      <c r="AN221" s="19">
        <f t="shared" si="104"/>
        <v>2.1543104841910781</v>
      </c>
      <c r="AO221" s="19">
        <f>IF($H221&gt;0,'Calculation Constants'!$B$9*Hydraulics!$K221^2/2/9.81/MAX($F$4:$F$253)*$H221,"")</f>
        <v>7.8734226558858159E-2</v>
      </c>
      <c r="AP221" s="19">
        <f t="shared" si="105"/>
        <v>2.2330447107499363</v>
      </c>
      <c r="AQ221" s="19">
        <f t="shared" si="95"/>
        <v>0</v>
      </c>
      <c r="AR221" s="19">
        <f t="shared" si="106"/>
        <v>60.922101515805821</v>
      </c>
      <c r="AS221" s="23">
        <f t="shared" si="96"/>
        <v>1027.6201015158058</v>
      </c>
    </row>
    <row r="222" spans="5:45">
      <c r="E222" s="35" t="str">
        <f t="shared" si="82"/>
        <v/>
      </c>
      <c r="F222" s="19">
        <f>'Profile data'!A222</f>
        <v>438</v>
      </c>
      <c r="G222" s="19">
        <f>VLOOKUP(F222,'Profile data'!A222:C481,IF($B$22="Botswana 1",2,3))</f>
        <v>963.61800000000005</v>
      </c>
      <c r="H222" s="19">
        <f t="shared" si="107"/>
        <v>2</v>
      </c>
      <c r="I222" s="19">
        <v>1.8</v>
      </c>
      <c r="J222" s="36">
        <f>'Flow Rate Calculations'!$B$7</f>
        <v>4.0831050228310497</v>
      </c>
      <c r="K222" s="36">
        <f t="shared" si="97"/>
        <v>1.6045588828318709</v>
      </c>
      <c r="L222" s="37">
        <f>$I222*$K222/'Calculation Constants'!$B$7</f>
        <v>2555934.503625989</v>
      </c>
      <c r="M222" s="37" t="str">
        <f t="shared" si="83"/>
        <v>Greater Dynamic Pressures</v>
      </c>
      <c r="N222" s="23">
        <f t="shared" si="98"/>
        <v>123.59648086775962</v>
      </c>
      <c r="O222" s="55">
        <f t="shared" si="84"/>
        <v>112.55032441341893</v>
      </c>
      <c r="P222" s="64">
        <f>MAX(I222*1000/'Calculation Constants'!$B$14,O222*10*I222*1000/2/('Calculation Constants'!$B$12*1000*'Calculation Constants'!$B$13))</f>
        <v>11.25</v>
      </c>
      <c r="Q222" s="66">
        <f t="shared" si="85"/>
        <v>992548.40161508287</v>
      </c>
      <c r="R222" s="27">
        <f>(1/(2*LOG(3.7*$I222/'Calculation Constants'!$B$2*1000)))^2</f>
        <v>8.7463077071963571E-3</v>
      </c>
      <c r="S222" s="19">
        <f t="shared" si="99"/>
        <v>1.2752477269849725</v>
      </c>
      <c r="T222" s="19">
        <f>IF($H222&gt;0,'Calculation Constants'!$B$9*Hydraulics!$K222^2/2/9.81/MAX($F$4:$F$253)*$H222,"")</f>
        <v>7.8734226558858159E-2</v>
      </c>
      <c r="U222" s="19">
        <f t="shared" si="100"/>
        <v>1.3539819535438307</v>
      </c>
      <c r="V222" s="19">
        <f t="shared" si="86"/>
        <v>0</v>
      </c>
      <c r="W222" s="19">
        <f t="shared" si="87"/>
        <v>123.59648086775962</v>
      </c>
      <c r="X222" s="23">
        <f t="shared" si="88"/>
        <v>1087.2144808677597</v>
      </c>
      <c r="Y222" s="22">
        <f>(1/(2*LOG(3.7*$I222/'Calculation Constants'!$B$3*1000)))^2</f>
        <v>9.8211436332891755E-3</v>
      </c>
      <c r="Z222" s="19">
        <f t="shared" si="89"/>
        <v>1.431963236834217</v>
      </c>
      <c r="AA222" s="19">
        <f>IF($H222&gt;0,'Calculation Constants'!$B$9*Hydraulics!$K222^2/2/9.81/MAX($F$4:$F$253)*$H222,"")</f>
        <v>7.8734226558858159E-2</v>
      </c>
      <c r="AB222" s="19">
        <f t="shared" si="108"/>
        <v>1.5106974633930752</v>
      </c>
      <c r="AC222" s="19">
        <f t="shared" si="90"/>
        <v>0</v>
      </c>
      <c r="AD222" s="19">
        <f t="shared" si="101"/>
        <v>112.55032441341893</v>
      </c>
      <c r="AE222" s="23">
        <f t="shared" si="91"/>
        <v>1076.168324413419</v>
      </c>
      <c r="AF222" s="27">
        <f>(1/(2*LOG(3.7*$I222/'Calculation Constants'!$B$4*1000)))^2</f>
        <v>1.1575055557914658E-2</v>
      </c>
      <c r="AG222" s="19">
        <f t="shared" si="92"/>
        <v>1.6876908272744866</v>
      </c>
      <c r="AH222" s="19">
        <f>IF($H222&gt;0,'Calculation Constants'!$B$9*Hydraulics!$K222^2/2/9.81/MAX($F$4:$F$253)*$H222,"")</f>
        <v>7.8734226558858159E-2</v>
      </c>
      <c r="AI222" s="19">
        <f t="shared" si="102"/>
        <v>1.7664250538333448</v>
      </c>
      <c r="AJ222" s="19">
        <f t="shared" si="93"/>
        <v>0</v>
      </c>
      <c r="AK222" s="19">
        <f t="shared" si="103"/>
        <v>94.542389789741605</v>
      </c>
      <c r="AL222" s="23">
        <f t="shared" si="94"/>
        <v>1058.1603897897417</v>
      </c>
      <c r="AM222" s="22">
        <f>(1/(2*LOG(3.7*($I222-0.008)/'Calculation Constants'!$B$5*1000)))^2</f>
        <v>1.4709705891825043E-2</v>
      </c>
      <c r="AN222" s="19">
        <f t="shared" si="104"/>
        <v>2.1543104841910781</v>
      </c>
      <c r="AO222" s="19">
        <f>IF($H222&gt;0,'Calculation Constants'!$B$9*Hydraulics!$K222^2/2/9.81/MAX($F$4:$F$253)*$H222,"")</f>
        <v>7.8734226558858159E-2</v>
      </c>
      <c r="AP222" s="19">
        <f t="shared" si="105"/>
        <v>2.2330447107499363</v>
      </c>
      <c r="AQ222" s="19">
        <f t="shared" si="95"/>
        <v>0</v>
      </c>
      <c r="AR222" s="19">
        <f t="shared" si="106"/>
        <v>61.769056805055811</v>
      </c>
      <c r="AS222" s="23">
        <f t="shared" si="96"/>
        <v>1025.3870568050559</v>
      </c>
    </row>
    <row r="223" spans="5:45">
      <c r="E223" s="35" t="str">
        <f t="shared" si="82"/>
        <v/>
      </c>
      <c r="F223" s="19">
        <f>'Profile data'!A223</f>
        <v>440</v>
      </c>
      <c r="G223" s="19">
        <f>VLOOKUP(F223,'Profile data'!A223:C482,IF($B$22="Botswana 1",2,3))</f>
        <v>957.803</v>
      </c>
      <c r="H223" s="19">
        <f t="shared" si="107"/>
        <v>2</v>
      </c>
      <c r="I223" s="19">
        <v>1.8</v>
      </c>
      <c r="J223" s="36">
        <f>'Flow Rate Calculations'!$B$7</f>
        <v>4.0831050228310497</v>
      </c>
      <c r="K223" s="36">
        <f t="shared" si="97"/>
        <v>1.6045588828318709</v>
      </c>
      <c r="L223" s="37">
        <f>$I223*$K223/'Calculation Constants'!$B$7</f>
        <v>2555934.503625989</v>
      </c>
      <c r="M223" s="37" t="str">
        <f t="shared" si="83"/>
        <v>Greater Dynamic Pressures</v>
      </c>
      <c r="N223" s="23">
        <f t="shared" si="98"/>
        <v>128.0574989142159</v>
      </c>
      <c r="O223" s="55">
        <f t="shared" si="84"/>
        <v>116.85462695002582</v>
      </c>
      <c r="P223" s="64">
        <f>MAX(I223*1000/'Calculation Constants'!$B$14,O223*10*I223*1000/2/('Calculation Constants'!$B$12*1000*'Calculation Constants'!$B$13))</f>
        <v>11.25</v>
      </c>
      <c r="Q223" s="66">
        <f t="shared" si="85"/>
        <v>992548.40161508287</v>
      </c>
      <c r="R223" s="27">
        <f>(1/(2*LOG(3.7*$I223/'Calculation Constants'!$B$2*1000)))^2</f>
        <v>8.7463077071963571E-3</v>
      </c>
      <c r="S223" s="19">
        <f t="shared" si="99"/>
        <v>1.2752477269849725</v>
      </c>
      <c r="T223" s="19">
        <f>IF($H223&gt;0,'Calculation Constants'!$B$9*Hydraulics!$K223^2/2/9.81/MAX($F$4:$F$253)*$H223,"")</f>
        <v>7.8734226558858159E-2</v>
      </c>
      <c r="U223" s="19">
        <f t="shared" si="100"/>
        <v>1.3539819535438307</v>
      </c>
      <c r="V223" s="19">
        <f t="shared" si="86"/>
        <v>0</v>
      </c>
      <c r="W223" s="19">
        <f t="shared" si="87"/>
        <v>128.0574989142159</v>
      </c>
      <c r="X223" s="23">
        <f t="shared" si="88"/>
        <v>1085.8604989142159</v>
      </c>
      <c r="Y223" s="22">
        <f>(1/(2*LOG(3.7*$I223/'Calculation Constants'!$B$3*1000)))^2</f>
        <v>9.8211436332891755E-3</v>
      </c>
      <c r="Z223" s="19">
        <f t="shared" si="89"/>
        <v>1.431963236834217</v>
      </c>
      <c r="AA223" s="19">
        <f>IF($H223&gt;0,'Calculation Constants'!$B$9*Hydraulics!$K223^2/2/9.81/MAX($F$4:$F$253)*$H223,"")</f>
        <v>7.8734226558858159E-2</v>
      </c>
      <c r="AB223" s="19">
        <f t="shared" si="108"/>
        <v>1.5106974633930752</v>
      </c>
      <c r="AC223" s="19">
        <f t="shared" si="90"/>
        <v>0</v>
      </c>
      <c r="AD223" s="19">
        <f t="shared" si="101"/>
        <v>116.85462695002582</v>
      </c>
      <c r="AE223" s="23">
        <f t="shared" si="91"/>
        <v>1074.6576269500258</v>
      </c>
      <c r="AF223" s="27">
        <f>(1/(2*LOG(3.7*$I223/'Calculation Constants'!$B$4*1000)))^2</f>
        <v>1.1575055557914658E-2</v>
      </c>
      <c r="AG223" s="19">
        <f t="shared" si="92"/>
        <v>1.6876908272744866</v>
      </c>
      <c r="AH223" s="19">
        <f>IF($H223&gt;0,'Calculation Constants'!$B$9*Hydraulics!$K223^2/2/9.81/MAX($F$4:$F$253)*$H223,"")</f>
        <v>7.8734226558858159E-2</v>
      </c>
      <c r="AI223" s="19">
        <f t="shared" si="102"/>
        <v>1.7664250538333448</v>
      </c>
      <c r="AJ223" s="19">
        <f t="shared" si="93"/>
        <v>0</v>
      </c>
      <c r="AK223" s="19">
        <f t="shared" si="103"/>
        <v>98.590964735908415</v>
      </c>
      <c r="AL223" s="23">
        <f t="shared" si="94"/>
        <v>1056.3939647359084</v>
      </c>
      <c r="AM223" s="22">
        <f>(1/(2*LOG(3.7*($I223-0.008)/'Calculation Constants'!$B$5*1000)))^2</f>
        <v>1.4709705891825043E-2</v>
      </c>
      <c r="AN223" s="19">
        <f t="shared" si="104"/>
        <v>2.1543104841910781</v>
      </c>
      <c r="AO223" s="19">
        <f>IF($H223&gt;0,'Calculation Constants'!$B$9*Hydraulics!$K223^2/2/9.81/MAX($F$4:$F$253)*$H223,"")</f>
        <v>7.8734226558858159E-2</v>
      </c>
      <c r="AP223" s="19">
        <f t="shared" si="105"/>
        <v>2.2330447107499363</v>
      </c>
      <c r="AQ223" s="19">
        <f t="shared" si="95"/>
        <v>0</v>
      </c>
      <c r="AR223" s="19">
        <f t="shared" si="106"/>
        <v>65.351012094305929</v>
      </c>
      <c r="AS223" s="23">
        <f t="shared" si="96"/>
        <v>1023.1540120943059</v>
      </c>
    </row>
    <row r="224" spans="5:45">
      <c r="E224" s="35" t="str">
        <f t="shared" si="82"/>
        <v/>
      </c>
      <c r="F224" s="19">
        <f>'Profile data'!A224</f>
        <v>442</v>
      </c>
      <c r="G224" s="19">
        <f>VLOOKUP(F224,'Profile data'!A224:C483,IF($B$22="Botswana 1",2,3))</f>
        <v>954.27700000000004</v>
      </c>
      <c r="H224" s="19">
        <f t="shared" si="107"/>
        <v>2</v>
      </c>
      <c r="I224" s="19">
        <v>1.8</v>
      </c>
      <c r="J224" s="36">
        <f>'Flow Rate Calculations'!$B$7</f>
        <v>4.0831050228310497</v>
      </c>
      <c r="K224" s="36">
        <f t="shared" si="97"/>
        <v>1.6045588828318709</v>
      </c>
      <c r="L224" s="37">
        <f>$I224*$K224/'Calculation Constants'!$B$7</f>
        <v>2555934.503625989</v>
      </c>
      <c r="M224" s="37" t="str">
        <f t="shared" si="83"/>
        <v>Greater Dynamic Pressures</v>
      </c>
      <c r="N224" s="23">
        <f t="shared" si="98"/>
        <v>130.22951696067207</v>
      </c>
      <c r="O224" s="55">
        <f t="shared" si="84"/>
        <v>118.8699294866326</v>
      </c>
      <c r="P224" s="64">
        <f>MAX(I224*1000/'Calculation Constants'!$B$14,O224*10*I224*1000/2/('Calculation Constants'!$B$12*1000*'Calculation Constants'!$B$13))</f>
        <v>11.25</v>
      </c>
      <c r="Q224" s="66">
        <f t="shared" si="85"/>
        <v>992548.40161508287</v>
      </c>
      <c r="R224" s="27">
        <f>(1/(2*LOG(3.7*$I224/'Calculation Constants'!$B$2*1000)))^2</f>
        <v>8.7463077071963571E-3</v>
      </c>
      <c r="S224" s="19">
        <f t="shared" si="99"/>
        <v>1.2752477269849725</v>
      </c>
      <c r="T224" s="19">
        <f>IF($H224&gt;0,'Calculation Constants'!$B$9*Hydraulics!$K224^2/2/9.81/MAX($F$4:$F$253)*$H224,"")</f>
        <v>7.8734226558858159E-2</v>
      </c>
      <c r="U224" s="19">
        <f t="shared" si="100"/>
        <v>1.3539819535438307</v>
      </c>
      <c r="V224" s="19">
        <f t="shared" si="86"/>
        <v>0</v>
      </c>
      <c r="W224" s="19">
        <f t="shared" si="87"/>
        <v>130.22951696067207</v>
      </c>
      <c r="X224" s="23">
        <f t="shared" si="88"/>
        <v>1084.5065169606721</v>
      </c>
      <c r="Y224" s="22">
        <f>(1/(2*LOG(3.7*$I224/'Calculation Constants'!$B$3*1000)))^2</f>
        <v>9.8211436332891755E-3</v>
      </c>
      <c r="Z224" s="19">
        <f t="shared" si="89"/>
        <v>1.431963236834217</v>
      </c>
      <c r="AA224" s="19">
        <f>IF($H224&gt;0,'Calculation Constants'!$B$9*Hydraulics!$K224^2/2/9.81/MAX($F$4:$F$253)*$H224,"")</f>
        <v>7.8734226558858159E-2</v>
      </c>
      <c r="AB224" s="19">
        <f t="shared" si="108"/>
        <v>1.5106974633930752</v>
      </c>
      <c r="AC224" s="19">
        <f t="shared" si="90"/>
        <v>0</v>
      </c>
      <c r="AD224" s="19">
        <f t="shared" si="101"/>
        <v>118.8699294866326</v>
      </c>
      <c r="AE224" s="23">
        <f t="shared" si="91"/>
        <v>1073.1469294866326</v>
      </c>
      <c r="AF224" s="27">
        <f>(1/(2*LOG(3.7*$I224/'Calculation Constants'!$B$4*1000)))^2</f>
        <v>1.1575055557914658E-2</v>
      </c>
      <c r="AG224" s="19">
        <f t="shared" si="92"/>
        <v>1.6876908272744866</v>
      </c>
      <c r="AH224" s="19">
        <f>IF($H224&gt;0,'Calculation Constants'!$B$9*Hydraulics!$K224^2/2/9.81/MAX($F$4:$F$253)*$H224,"")</f>
        <v>7.8734226558858159E-2</v>
      </c>
      <c r="AI224" s="19">
        <f t="shared" si="102"/>
        <v>1.7664250538333448</v>
      </c>
      <c r="AJ224" s="19">
        <f t="shared" si="93"/>
        <v>0</v>
      </c>
      <c r="AK224" s="19">
        <f t="shared" si="103"/>
        <v>100.35053968207512</v>
      </c>
      <c r="AL224" s="23">
        <f t="shared" si="94"/>
        <v>1054.6275396820752</v>
      </c>
      <c r="AM224" s="22">
        <f>(1/(2*LOG(3.7*($I224-0.008)/'Calculation Constants'!$B$5*1000)))^2</f>
        <v>1.4709705891825043E-2</v>
      </c>
      <c r="AN224" s="19">
        <f t="shared" si="104"/>
        <v>2.1543104841910781</v>
      </c>
      <c r="AO224" s="19">
        <f>IF($H224&gt;0,'Calculation Constants'!$B$9*Hydraulics!$K224^2/2/9.81/MAX($F$4:$F$253)*$H224,"")</f>
        <v>7.8734226558858159E-2</v>
      </c>
      <c r="AP224" s="19">
        <f t="shared" si="105"/>
        <v>2.2330447107499363</v>
      </c>
      <c r="AQ224" s="19">
        <f t="shared" si="95"/>
        <v>0</v>
      </c>
      <c r="AR224" s="19">
        <f t="shared" si="106"/>
        <v>66.643967383555946</v>
      </c>
      <c r="AS224" s="23">
        <f t="shared" si="96"/>
        <v>1020.920967383556</v>
      </c>
    </row>
    <row r="225" spans="5:45">
      <c r="E225" s="35" t="str">
        <f t="shared" si="82"/>
        <v/>
      </c>
      <c r="F225" s="19">
        <f>'Profile data'!A225</f>
        <v>444</v>
      </c>
      <c r="G225" s="19">
        <f>VLOOKUP(F225,'Profile data'!A225:C484,IF($B$22="Botswana 1",2,3))</f>
        <v>947.18200000000002</v>
      </c>
      <c r="H225" s="19">
        <f t="shared" si="107"/>
        <v>2</v>
      </c>
      <c r="I225" s="19">
        <v>1.8</v>
      </c>
      <c r="J225" s="36">
        <f>'Flow Rate Calculations'!$B$7</f>
        <v>4.0831050228310497</v>
      </c>
      <c r="K225" s="36">
        <f t="shared" si="97"/>
        <v>1.6045588828318709</v>
      </c>
      <c r="L225" s="37">
        <f>$I225*$K225/'Calculation Constants'!$B$7</f>
        <v>2555934.503625989</v>
      </c>
      <c r="M225" s="37" t="str">
        <f t="shared" si="83"/>
        <v>Greater Dynamic Pressures</v>
      </c>
      <c r="N225" s="23">
        <f t="shared" si="98"/>
        <v>135.97053500712832</v>
      </c>
      <c r="O225" s="55">
        <f t="shared" si="84"/>
        <v>124.45423202323946</v>
      </c>
      <c r="P225" s="64">
        <f>MAX(I225*1000/'Calculation Constants'!$B$14,O225*10*I225*1000/2/('Calculation Constants'!$B$12*1000*'Calculation Constants'!$B$13))</f>
        <v>11.25</v>
      </c>
      <c r="Q225" s="66">
        <f t="shared" si="85"/>
        <v>992548.40161508287</v>
      </c>
      <c r="R225" s="27">
        <f>(1/(2*LOG(3.7*$I225/'Calculation Constants'!$B$2*1000)))^2</f>
        <v>8.7463077071963571E-3</v>
      </c>
      <c r="S225" s="19">
        <f t="shared" si="99"/>
        <v>1.2752477269849725</v>
      </c>
      <c r="T225" s="19">
        <f>IF($H225&gt;0,'Calculation Constants'!$B$9*Hydraulics!$K225^2/2/9.81/MAX($F$4:$F$253)*$H225,"")</f>
        <v>7.8734226558858159E-2</v>
      </c>
      <c r="U225" s="19">
        <f t="shared" si="100"/>
        <v>1.3539819535438307</v>
      </c>
      <c r="V225" s="19">
        <f t="shared" si="86"/>
        <v>0</v>
      </c>
      <c r="W225" s="19">
        <f t="shared" si="87"/>
        <v>135.97053500712832</v>
      </c>
      <c r="X225" s="23">
        <f t="shared" si="88"/>
        <v>1083.1525350071283</v>
      </c>
      <c r="Y225" s="22">
        <f>(1/(2*LOG(3.7*$I225/'Calculation Constants'!$B$3*1000)))^2</f>
        <v>9.8211436332891755E-3</v>
      </c>
      <c r="Z225" s="19">
        <f t="shared" si="89"/>
        <v>1.431963236834217</v>
      </c>
      <c r="AA225" s="19">
        <f>IF($H225&gt;0,'Calculation Constants'!$B$9*Hydraulics!$K225^2/2/9.81/MAX($F$4:$F$253)*$H225,"")</f>
        <v>7.8734226558858159E-2</v>
      </c>
      <c r="AB225" s="19">
        <f t="shared" si="108"/>
        <v>1.5106974633930752</v>
      </c>
      <c r="AC225" s="19">
        <f t="shared" si="90"/>
        <v>0</v>
      </c>
      <c r="AD225" s="19">
        <f t="shared" si="101"/>
        <v>124.45423202323946</v>
      </c>
      <c r="AE225" s="23">
        <f t="shared" si="91"/>
        <v>1071.6362320232395</v>
      </c>
      <c r="AF225" s="27">
        <f>(1/(2*LOG(3.7*$I225/'Calculation Constants'!$B$4*1000)))^2</f>
        <v>1.1575055557914658E-2</v>
      </c>
      <c r="AG225" s="19">
        <f t="shared" si="92"/>
        <v>1.6876908272744866</v>
      </c>
      <c r="AH225" s="19">
        <f>IF($H225&gt;0,'Calculation Constants'!$B$9*Hydraulics!$K225^2/2/9.81/MAX($F$4:$F$253)*$H225,"")</f>
        <v>7.8734226558858159E-2</v>
      </c>
      <c r="AI225" s="19">
        <f t="shared" si="102"/>
        <v>1.7664250538333448</v>
      </c>
      <c r="AJ225" s="19">
        <f t="shared" si="93"/>
        <v>0</v>
      </c>
      <c r="AK225" s="19">
        <f t="shared" si="103"/>
        <v>105.6791146282419</v>
      </c>
      <c r="AL225" s="23">
        <f t="shared" si="94"/>
        <v>1052.8611146282419</v>
      </c>
      <c r="AM225" s="22">
        <f>(1/(2*LOG(3.7*($I225-0.008)/'Calculation Constants'!$B$5*1000)))^2</f>
        <v>1.4709705891825043E-2</v>
      </c>
      <c r="AN225" s="19">
        <f t="shared" si="104"/>
        <v>2.1543104841910781</v>
      </c>
      <c r="AO225" s="19">
        <f>IF($H225&gt;0,'Calculation Constants'!$B$9*Hydraulics!$K225^2/2/9.81/MAX($F$4:$F$253)*$H225,"")</f>
        <v>7.8734226558858159E-2</v>
      </c>
      <c r="AP225" s="19">
        <f t="shared" si="105"/>
        <v>2.2330447107499363</v>
      </c>
      <c r="AQ225" s="19">
        <f t="shared" si="95"/>
        <v>0</v>
      </c>
      <c r="AR225" s="19">
        <f t="shared" si="106"/>
        <v>71.505922672806037</v>
      </c>
      <c r="AS225" s="23">
        <f t="shared" si="96"/>
        <v>1018.6879226728061</v>
      </c>
    </row>
    <row r="226" spans="5:45">
      <c r="E226" s="35" t="str">
        <f t="shared" si="82"/>
        <v/>
      </c>
      <c r="F226" s="19">
        <f>'Profile data'!A226</f>
        <v>446</v>
      </c>
      <c r="G226" s="19">
        <f>VLOOKUP(F226,'Profile data'!A226:C485,IF($B$22="Botswana 1",2,3))</f>
        <v>938.04499999999996</v>
      </c>
      <c r="H226" s="19">
        <f t="shared" si="107"/>
        <v>2</v>
      </c>
      <c r="I226" s="19">
        <v>1.8</v>
      </c>
      <c r="J226" s="36">
        <f>'Flow Rate Calculations'!$B$7</f>
        <v>4.0831050228310497</v>
      </c>
      <c r="K226" s="36">
        <f t="shared" si="97"/>
        <v>1.6045588828318709</v>
      </c>
      <c r="L226" s="37">
        <f>$I226*$K226/'Calculation Constants'!$B$7</f>
        <v>2555934.503625989</v>
      </c>
      <c r="M226" s="37" t="str">
        <f t="shared" si="83"/>
        <v>Greater Dynamic Pressures</v>
      </c>
      <c r="N226" s="23">
        <f t="shared" si="98"/>
        <v>143.7535530535846</v>
      </c>
      <c r="O226" s="55">
        <f t="shared" si="84"/>
        <v>132.08053455984634</v>
      </c>
      <c r="P226" s="64">
        <f>MAX(I226*1000/'Calculation Constants'!$B$14,O226*10*I226*1000/2/('Calculation Constants'!$B$12*1000*'Calculation Constants'!$B$13))</f>
        <v>11.25</v>
      </c>
      <c r="Q226" s="66">
        <f t="shared" si="85"/>
        <v>992548.40161508287</v>
      </c>
      <c r="R226" s="27">
        <f>(1/(2*LOG(3.7*$I226/'Calculation Constants'!$B$2*1000)))^2</f>
        <v>8.7463077071963571E-3</v>
      </c>
      <c r="S226" s="19">
        <f t="shared" si="99"/>
        <v>1.2752477269849725</v>
      </c>
      <c r="T226" s="19">
        <f>IF($H226&gt;0,'Calculation Constants'!$B$9*Hydraulics!$K226^2/2/9.81/MAX($F$4:$F$253)*$H226,"")</f>
        <v>7.8734226558858159E-2</v>
      </c>
      <c r="U226" s="19">
        <f t="shared" si="100"/>
        <v>1.3539819535438307</v>
      </c>
      <c r="V226" s="19">
        <f t="shared" si="86"/>
        <v>0</v>
      </c>
      <c r="W226" s="19">
        <f t="shared" si="87"/>
        <v>143.7535530535846</v>
      </c>
      <c r="X226" s="23">
        <f t="shared" si="88"/>
        <v>1081.7985530535846</v>
      </c>
      <c r="Y226" s="22">
        <f>(1/(2*LOG(3.7*$I226/'Calculation Constants'!$B$3*1000)))^2</f>
        <v>9.8211436332891755E-3</v>
      </c>
      <c r="Z226" s="19">
        <f t="shared" si="89"/>
        <v>1.431963236834217</v>
      </c>
      <c r="AA226" s="19">
        <f>IF($H226&gt;0,'Calculation Constants'!$B$9*Hydraulics!$K226^2/2/9.81/MAX($F$4:$F$253)*$H226,"")</f>
        <v>7.8734226558858159E-2</v>
      </c>
      <c r="AB226" s="19">
        <f t="shared" si="108"/>
        <v>1.5106974633930752</v>
      </c>
      <c r="AC226" s="19">
        <f t="shared" si="90"/>
        <v>0</v>
      </c>
      <c r="AD226" s="19">
        <f t="shared" si="101"/>
        <v>132.08053455984634</v>
      </c>
      <c r="AE226" s="23">
        <f t="shared" si="91"/>
        <v>1070.1255345598463</v>
      </c>
      <c r="AF226" s="27">
        <f>(1/(2*LOG(3.7*$I226/'Calculation Constants'!$B$4*1000)))^2</f>
        <v>1.1575055557914658E-2</v>
      </c>
      <c r="AG226" s="19">
        <f t="shared" si="92"/>
        <v>1.6876908272744866</v>
      </c>
      <c r="AH226" s="19">
        <f>IF($H226&gt;0,'Calculation Constants'!$B$9*Hydraulics!$K226^2/2/9.81/MAX($F$4:$F$253)*$H226,"")</f>
        <v>7.8734226558858159E-2</v>
      </c>
      <c r="AI226" s="19">
        <f t="shared" si="102"/>
        <v>1.7664250538333448</v>
      </c>
      <c r="AJ226" s="19">
        <f t="shared" si="93"/>
        <v>0</v>
      </c>
      <c r="AK226" s="19">
        <f t="shared" si="103"/>
        <v>113.04968957440872</v>
      </c>
      <c r="AL226" s="23">
        <f t="shared" si="94"/>
        <v>1051.0946895744087</v>
      </c>
      <c r="AM226" s="22">
        <f>(1/(2*LOG(3.7*($I226-0.008)/'Calculation Constants'!$B$5*1000)))^2</f>
        <v>1.4709705891825043E-2</v>
      </c>
      <c r="AN226" s="19">
        <f t="shared" si="104"/>
        <v>2.1543104841910781</v>
      </c>
      <c r="AO226" s="19">
        <f>IF($H226&gt;0,'Calculation Constants'!$B$9*Hydraulics!$K226^2/2/9.81/MAX($F$4:$F$253)*$H226,"")</f>
        <v>7.8734226558858159E-2</v>
      </c>
      <c r="AP226" s="19">
        <f t="shared" si="105"/>
        <v>2.2330447107499363</v>
      </c>
      <c r="AQ226" s="19">
        <f t="shared" si="95"/>
        <v>0</v>
      </c>
      <c r="AR226" s="19">
        <f t="shared" si="106"/>
        <v>78.409877962056157</v>
      </c>
      <c r="AS226" s="23">
        <f t="shared" si="96"/>
        <v>1016.4548779620561</v>
      </c>
    </row>
    <row r="227" spans="5:45">
      <c r="E227" s="35" t="str">
        <f t="shared" si="82"/>
        <v/>
      </c>
      <c r="F227" s="19">
        <f>'Profile data'!A227</f>
        <v>448</v>
      </c>
      <c r="G227" s="19">
        <f>VLOOKUP(F227,'Profile data'!A227:C486,IF($B$22="Botswana 1",2,3))</f>
        <v>930.87099999999998</v>
      </c>
      <c r="H227" s="19">
        <f t="shared" si="107"/>
        <v>2</v>
      </c>
      <c r="I227" s="19">
        <v>1.8</v>
      </c>
      <c r="J227" s="36">
        <f>'Flow Rate Calculations'!$B$7</f>
        <v>4.0831050228310497</v>
      </c>
      <c r="K227" s="36">
        <f t="shared" si="97"/>
        <v>1.6045588828318709</v>
      </c>
      <c r="L227" s="37">
        <f>$I227*$K227/'Calculation Constants'!$B$7</f>
        <v>2555934.503625989</v>
      </c>
      <c r="M227" s="37" t="str">
        <f t="shared" si="83"/>
        <v>Greater Dynamic Pressures</v>
      </c>
      <c r="N227" s="23">
        <f t="shared" si="98"/>
        <v>149.57357110004079</v>
      </c>
      <c r="O227" s="55">
        <f t="shared" si="84"/>
        <v>137.74383709645315</v>
      </c>
      <c r="P227" s="64">
        <f>MAX(I227*1000/'Calculation Constants'!$B$14,O227*10*I227*1000/2/('Calculation Constants'!$B$12*1000*'Calculation Constants'!$B$13))</f>
        <v>11.25</v>
      </c>
      <c r="Q227" s="66">
        <f t="shared" si="85"/>
        <v>992548.40161508287</v>
      </c>
      <c r="R227" s="27">
        <f>(1/(2*LOG(3.7*$I227/'Calculation Constants'!$B$2*1000)))^2</f>
        <v>8.7463077071963571E-3</v>
      </c>
      <c r="S227" s="19">
        <f t="shared" si="99"/>
        <v>1.2752477269849725</v>
      </c>
      <c r="T227" s="19">
        <f>IF($H227&gt;0,'Calculation Constants'!$B$9*Hydraulics!$K227^2/2/9.81/MAX($F$4:$F$253)*$H227,"")</f>
        <v>7.8734226558858159E-2</v>
      </c>
      <c r="U227" s="19">
        <f t="shared" si="100"/>
        <v>1.3539819535438307</v>
      </c>
      <c r="V227" s="19">
        <f t="shared" si="86"/>
        <v>0</v>
      </c>
      <c r="W227" s="19">
        <f t="shared" si="87"/>
        <v>149.57357110004079</v>
      </c>
      <c r="X227" s="23">
        <f t="shared" si="88"/>
        <v>1080.4445711000408</v>
      </c>
      <c r="Y227" s="22">
        <f>(1/(2*LOG(3.7*$I227/'Calculation Constants'!$B$3*1000)))^2</f>
        <v>9.8211436332891755E-3</v>
      </c>
      <c r="Z227" s="19">
        <f t="shared" si="89"/>
        <v>1.431963236834217</v>
      </c>
      <c r="AA227" s="19">
        <f>IF($H227&gt;0,'Calculation Constants'!$B$9*Hydraulics!$K227^2/2/9.81/MAX($F$4:$F$253)*$H227,"")</f>
        <v>7.8734226558858159E-2</v>
      </c>
      <c r="AB227" s="19">
        <f t="shared" si="108"/>
        <v>1.5106974633930752</v>
      </c>
      <c r="AC227" s="19">
        <f t="shared" si="90"/>
        <v>0</v>
      </c>
      <c r="AD227" s="19">
        <f t="shared" si="101"/>
        <v>137.74383709645315</v>
      </c>
      <c r="AE227" s="23">
        <f t="shared" si="91"/>
        <v>1068.6148370964531</v>
      </c>
      <c r="AF227" s="27">
        <f>(1/(2*LOG(3.7*$I227/'Calculation Constants'!$B$4*1000)))^2</f>
        <v>1.1575055557914658E-2</v>
      </c>
      <c r="AG227" s="19">
        <f t="shared" si="92"/>
        <v>1.6876908272744866</v>
      </c>
      <c r="AH227" s="19">
        <f>IF($H227&gt;0,'Calculation Constants'!$B$9*Hydraulics!$K227^2/2/9.81/MAX($F$4:$F$253)*$H227,"")</f>
        <v>7.8734226558858159E-2</v>
      </c>
      <c r="AI227" s="19">
        <f t="shared" si="102"/>
        <v>1.7664250538333448</v>
      </c>
      <c r="AJ227" s="19">
        <f t="shared" si="93"/>
        <v>0</v>
      </c>
      <c r="AK227" s="19">
        <f t="shared" si="103"/>
        <v>118.45726452057545</v>
      </c>
      <c r="AL227" s="23">
        <f t="shared" si="94"/>
        <v>1049.3282645205754</v>
      </c>
      <c r="AM227" s="22">
        <f>(1/(2*LOG(3.7*($I227-0.008)/'Calculation Constants'!$B$5*1000)))^2</f>
        <v>1.4709705891825043E-2</v>
      </c>
      <c r="AN227" s="19">
        <f t="shared" si="104"/>
        <v>2.1543104841910781</v>
      </c>
      <c r="AO227" s="19">
        <f>IF($H227&gt;0,'Calculation Constants'!$B$9*Hydraulics!$K227^2/2/9.81/MAX($F$4:$F$253)*$H227,"")</f>
        <v>7.8734226558858159E-2</v>
      </c>
      <c r="AP227" s="19">
        <f t="shared" si="105"/>
        <v>2.2330447107499363</v>
      </c>
      <c r="AQ227" s="19">
        <f t="shared" si="95"/>
        <v>0</v>
      </c>
      <c r="AR227" s="19">
        <f t="shared" si="106"/>
        <v>83.350833251306199</v>
      </c>
      <c r="AS227" s="23">
        <f t="shared" si="96"/>
        <v>1014.2218332513062</v>
      </c>
    </row>
    <row r="228" spans="5:45">
      <c r="E228" s="35" t="str">
        <f t="shared" si="82"/>
        <v/>
      </c>
      <c r="F228" s="19">
        <f>'Profile data'!A228</f>
        <v>450</v>
      </c>
      <c r="G228" s="19">
        <f>VLOOKUP(F228,'Profile data'!A228:C487,IF($B$22="Botswana 1",2,3))</f>
        <v>926.39099999999996</v>
      </c>
      <c r="H228" s="19">
        <f t="shared" si="107"/>
        <v>2</v>
      </c>
      <c r="I228" s="19">
        <v>1.8</v>
      </c>
      <c r="J228" s="36">
        <f>'Flow Rate Calculations'!$B$7</f>
        <v>4.0831050228310497</v>
      </c>
      <c r="K228" s="36">
        <f t="shared" si="97"/>
        <v>1.6045588828318709</v>
      </c>
      <c r="L228" s="37">
        <f>$I228*$K228/'Calculation Constants'!$B$7</f>
        <v>2555934.503625989</v>
      </c>
      <c r="M228" s="37" t="str">
        <f t="shared" si="83"/>
        <v>Greater Dynamic Pressures</v>
      </c>
      <c r="N228" s="23">
        <f t="shared" si="98"/>
        <v>152.69958914649703</v>
      </c>
      <c r="O228" s="55">
        <f t="shared" si="84"/>
        <v>140.71313963306</v>
      </c>
      <c r="P228" s="64">
        <f>MAX(I228*1000/'Calculation Constants'!$B$14,O228*10*I228*1000/2/('Calculation Constants'!$B$12*1000*'Calculation Constants'!$B$13))</f>
        <v>11.25</v>
      </c>
      <c r="Q228" s="66">
        <f t="shared" si="85"/>
        <v>992548.40161508287</v>
      </c>
      <c r="R228" s="27">
        <f>(1/(2*LOG(3.7*$I228/'Calculation Constants'!$B$2*1000)))^2</f>
        <v>8.7463077071963571E-3</v>
      </c>
      <c r="S228" s="19">
        <f t="shared" si="99"/>
        <v>1.2752477269849725</v>
      </c>
      <c r="T228" s="19">
        <f>IF($H228&gt;0,'Calculation Constants'!$B$9*Hydraulics!$K228^2/2/9.81/MAX($F$4:$F$253)*$H228,"")</f>
        <v>7.8734226558858159E-2</v>
      </c>
      <c r="U228" s="19">
        <f t="shared" si="100"/>
        <v>1.3539819535438307</v>
      </c>
      <c r="V228" s="19">
        <f t="shared" si="86"/>
        <v>0</v>
      </c>
      <c r="W228" s="19">
        <f t="shared" si="87"/>
        <v>152.69958914649703</v>
      </c>
      <c r="X228" s="23">
        <f t="shared" si="88"/>
        <v>1079.090589146497</v>
      </c>
      <c r="Y228" s="22">
        <f>(1/(2*LOG(3.7*$I228/'Calculation Constants'!$B$3*1000)))^2</f>
        <v>9.8211436332891755E-3</v>
      </c>
      <c r="Z228" s="19">
        <f t="shared" si="89"/>
        <v>1.431963236834217</v>
      </c>
      <c r="AA228" s="19">
        <f>IF($H228&gt;0,'Calculation Constants'!$B$9*Hydraulics!$K228^2/2/9.81/MAX($F$4:$F$253)*$H228,"")</f>
        <v>7.8734226558858159E-2</v>
      </c>
      <c r="AB228" s="19">
        <f t="shared" si="108"/>
        <v>1.5106974633930752</v>
      </c>
      <c r="AC228" s="19">
        <f t="shared" si="90"/>
        <v>0</v>
      </c>
      <c r="AD228" s="19">
        <f t="shared" si="101"/>
        <v>140.71313963306</v>
      </c>
      <c r="AE228" s="23">
        <f t="shared" si="91"/>
        <v>1067.10413963306</v>
      </c>
      <c r="AF228" s="27">
        <f>(1/(2*LOG(3.7*$I228/'Calculation Constants'!$B$4*1000)))^2</f>
        <v>1.1575055557914658E-2</v>
      </c>
      <c r="AG228" s="19">
        <f t="shared" si="92"/>
        <v>1.6876908272744866</v>
      </c>
      <c r="AH228" s="19">
        <f>IF($H228&gt;0,'Calculation Constants'!$B$9*Hydraulics!$K228^2/2/9.81/MAX($F$4:$F$253)*$H228,"")</f>
        <v>7.8734226558858159E-2</v>
      </c>
      <c r="AI228" s="19">
        <f t="shared" si="102"/>
        <v>1.7664250538333448</v>
      </c>
      <c r="AJ228" s="19">
        <f t="shared" si="93"/>
        <v>0</v>
      </c>
      <c r="AK228" s="19">
        <f t="shared" si="103"/>
        <v>121.17083946674222</v>
      </c>
      <c r="AL228" s="23">
        <f t="shared" si="94"/>
        <v>1047.5618394667422</v>
      </c>
      <c r="AM228" s="22">
        <f>(1/(2*LOG(3.7*($I228-0.008)/'Calculation Constants'!$B$5*1000)))^2</f>
        <v>1.4709705891825043E-2</v>
      </c>
      <c r="AN228" s="19">
        <f t="shared" si="104"/>
        <v>2.1543104841910781</v>
      </c>
      <c r="AO228" s="19">
        <f>IF($H228&gt;0,'Calculation Constants'!$B$9*Hydraulics!$K228^2/2/9.81/MAX($F$4:$F$253)*$H228,"")</f>
        <v>7.8734226558858159E-2</v>
      </c>
      <c r="AP228" s="19">
        <f t="shared" si="105"/>
        <v>2.2330447107499363</v>
      </c>
      <c r="AQ228" s="19">
        <f t="shared" si="95"/>
        <v>0</v>
      </c>
      <c r="AR228" s="19">
        <f t="shared" si="106"/>
        <v>85.59778854055628</v>
      </c>
      <c r="AS228" s="23">
        <f t="shared" si="96"/>
        <v>1011.9887885405562</v>
      </c>
    </row>
    <row r="229" spans="5:45">
      <c r="E229" s="35" t="str">
        <f t="shared" si="82"/>
        <v/>
      </c>
      <c r="F229" s="19">
        <f>'Profile data'!A229</f>
        <v>452</v>
      </c>
      <c r="G229" s="19">
        <f>VLOOKUP(F229,'Profile data'!A229:C488,IF($B$22="Botswana 1",2,3))</f>
        <v>918.34400000000005</v>
      </c>
      <c r="H229" s="19">
        <f t="shared" si="107"/>
        <v>2</v>
      </c>
      <c r="I229" s="19">
        <v>1.8</v>
      </c>
      <c r="J229" s="36">
        <f>'Flow Rate Calculations'!$B$7</f>
        <v>4.0831050228310497</v>
      </c>
      <c r="K229" s="36">
        <f t="shared" si="97"/>
        <v>1.6045588828318709</v>
      </c>
      <c r="L229" s="37">
        <f>$I229*$K229/'Calculation Constants'!$B$7</f>
        <v>2555934.503625989</v>
      </c>
      <c r="M229" s="37" t="str">
        <f t="shared" si="83"/>
        <v>Greater Dynamic Pressures</v>
      </c>
      <c r="N229" s="23">
        <f t="shared" si="98"/>
        <v>159.39260719295316</v>
      </c>
      <c r="O229" s="55">
        <f t="shared" si="84"/>
        <v>147.24944216966674</v>
      </c>
      <c r="P229" s="64">
        <f>MAX(I229*1000/'Calculation Constants'!$B$14,O229*10*I229*1000/2/('Calculation Constants'!$B$12*1000*'Calculation Constants'!$B$13))</f>
        <v>11.25</v>
      </c>
      <c r="Q229" s="66">
        <f t="shared" si="85"/>
        <v>992548.40161508287</v>
      </c>
      <c r="R229" s="27">
        <f>(1/(2*LOG(3.7*$I229/'Calculation Constants'!$B$2*1000)))^2</f>
        <v>8.7463077071963571E-3</v>
      </c>
      <c r="S229" s="19">
        <f t="shared" si="99"/>
        <v>1.2752477269849725</v>
      </c>
      <c r="T229" s="19">
        <f>IF($H229&gt;0,'Calculation Constants'!$B$9*Hydraulics!$K229^2/2/9.81/MAX($F$4:$F$253)*$H229,"")</f>
        <v>7.8734226558858159E-2</v>
      </c>
      <c r="U229" s="19">
        <f t="shared" si="100"/>
        <v>1.3539819535438307</v>
      </c>
      <c r="V229" s="19">
        <f t="shared" si="86"/>
        <v>0</v>
      </c>
      <c r="W229" s="19">
        <f t="shared" si="87"/>
        <v>159.39260719295316</v>
      </c>
      <c r="X229" s="23">
        <f t="shared" si="88"/>
        <v>1077.7366071929532</v>
      </c>
      <c r="Y229" s="22">
        <f>(1/(2*LOG(3.7*$I229/'Calculation Constants'!$B$3*1000)))^2</f>
        <v>9.8211436332891755E-3</v>
      </c>
      <c r="Z229" s="19">
        <f t="shared" si="89"/>
        <v>1.431963236834217</v>
      </c>
      <c r="AA229" s="19">
        <f>IF($H229&gt;0,'Calculation Constants'!$B$9*Hydraulics!$K229^2/2/9.81/MAX($F$4:$F$253)*$H229,"")</f>
        <v>7.8734226558858159E-2</v>
      </c>
      <c r="AB229" s="19">
        <f t="shared" si="108"/>
        <v>1.5106974633930752</v>
      </c>
      <c r="AC229" s="19">
        <f t="shared" si="90"/>
        <v>0</v>
      </c>
      <c r="AD229" s="19">
        <f t="shared" si="101"/>
        <v>147.24944216966674</v>
      </c>
      <c r="AE229" s="23">
        <f t="shared" si="91"/>
        <v>1065.5934421696668</v>
      </c>
      <c r="AF229" s="27">
        <f>(1/(2*LOG(3.7*$I229/'Calculation Constants'!$B$4*1000)))^2</f>
        <v>1.1575055557914658E-2</v>
      </c>
      <c r="AG229" s="19">
        <f t="shared" si="92"/>
        <v>1.6876908272744866</v>
      </c>
      <c r="AH229" s="19">
        <f>IF($H229&gt;0,'Calculation Constants'!$B$9*Hydraulics!$K229^2/2/9.81/MAX($F$4:$F$253)*$H229,"")</f>
        <v>7.8734226558858159E-2</v>
      </c>
      <c r="AI229" s="19">
        <f t="shared" si="102"/>
        <v>1.7664250538333448</v>
      </c>
      <c r="AJ229" s="19">
        <f t="shared" si="93"/>
        <v>0</v>
      </c>
      <c r="AK229" s="19">
        <f t="shared" si="103"/>
        <v>127.45141441290889</v>
      </c>
      <c r="AL229" s="23">
        <f t="shared" si="94"/>
        <v>1045.7954144129089</v>
      </c>
      <c r="AM229" s="22">
        <f>(1/(2*LOG(3.7*($I229-0.008)/'Calculation Constants'!$B$5*1000)))^2</f>
        <v>1.4709705891825043E-2</v>
      </c>
      <c r="AN229" s="19">
        <f t="shared" si="104"/>
        <v>2.1543104841910781</v>
      </c>
      <c r="AO229" s="19">
        <f>IF($H229&gt;0,'Calculation Constants'!$B$9*Hydraulics!$K229^2/2/9.81/MAX($F$4:$F$253)*$H229,"")</f>
        <v>7.8734226558858159E-2</v>
      </c>
      <c r="AP229" s="19">
        <f t="shared" si="105"/>
        <v>2.2330447107499363</v>
      </c>
      <c r="AQ229" s="19">
        <f t="shared" si="95"/>
        <v>0</v>
      </c>
      <c r="AR229" s="19">
        <f t="shared" si="106"/>
        <v>91.411743829806255</v>
      </c>
      <c r="AS229" s="23">
        <f t="shared" si="96"/>
        <v>1009.7557438298063</v>
      </c>
    </row>
    <row r="230" spans="5:45">
      <c r="E230" s="35" t="str">
        <f t="shared" si="82"/>
        <v/>
      </c>
      <c r="F230" s="19">
        <f>'Profile data'!A230</f>
        <v>454</v>
      </c>
      <c r="G230" s="19">
        <f>VLOOKUP(F230,'Profile data'!A230:C489,IF($B$22="Botswana 1",2,3))</f>
        <v>911.505</v>
      </c>
      <c r="H230" s="19">
        <f t="shared" si="107"/>
        <v>2</v>
      </c>
      <c r="I230" s="19">
        <v>1.8</v>
      </c>
      <c r="J230" s="36">
        <f>'Flow Rate Calculations'!$B$7</f>
        <v>4.0831050228310497</v>
      </c>
      <c r="K230" s="36">
        <f t="shared" si="97"/>
        <v>1.6045588828318709</v>
      </c>
      <c r="L230" s="37">
        <f>$I230*$K230/'Calculation Constants'!$B$7</f>
        <v>2555934.503625989</v>
      </c>
      <c r="M230" s="37" t="str">
        <f t="shared" si="83"/>
        <v>Greater Dynamic Pressures</v>
      </c>
      <c r="N230" s="23">
        <f t="shared" si="98"/>
        <v>164.87762523940944</v>
      </c>
      <c r="O230" s="55">
        <f t="shared" si="84"/>
        <v>152.57774470627362</v>
      </c>
      <c r="P230" s="64">
        <f>MAX(I230*1000/'Calculation Constants'!$B$14,O230*10*I230*1000/2/('Calculation Constants'!$B$12*1000*'Calculation Constants'!$B$13))</f>
        <v>11.25</v>
      </c>
      <c r="Q230" s="66">
        <f t="shared" si="85"/>
        <v>992548.40161508287</v>
      </c>
      <c r="R230" s="27">
        <f>(1/(2*LOG(3.7*$I230/'Calculation Constants'!$B$2*1000)))^2</f>
        <v>8.7463077071963571E-3</v>
      </c>
      <c r="S230" s="19">
        <f t="shared" si="99"/>
        <v>1.2752477269849725</v>
      </c>
      <c r="T230" s="19">
        <f>IF($H230&gt;0,'Calculation Constants'!$B$9*Hydraulics!$K230^2/2/9.81/MAX($F$4:$F$253)*$H230,"")</f>
        <v>7.8734226558858159E-2</v>
      </c>
      <c r="U230" s="19">
        <f t="shared" si="100"/>
        <v>1.3539819535438307</v>
      </c>
      <c r="V230" s="19">
        <f t="shared" si="86"/>
        <v>0</v>
      </c>
      <c r="W230" s="19">
        <f t="shared" si="87"/>
        <v>164.87762523940944</v>
      </c>
      <c r="X230" s="23">
        <f t="shared" si="88"/>
        <v>1076.3826252394094</v>
      </c>
      <c r="Y230" s="22">
        <f>(1/(2*LOG(3.7*$I230/'Calculation Constants'!$B$3*1000)))^2</f>
        <v>9.8211436332891755E-3</v>
      </c>
      <c r="Z230" s="19">
        <f t="shared" si="89"/>
        <v>1.431963236834217</v>
      </c>
      <c r="AA230" s="19">
        <f>IF($H230&gt;0,'Calculation Constants'!$B$9*Hydraulics!$K230^2/2/9.81/MAX($F$4:$F$253)*$H230,"")</f>
        <v>7.8734226558858159E-2</v>
      </c>
      <c r="AB230" s="19">
        <f t="shared" si="108"/>
        <v>1.5106974633930752</v>
      </c>
      <c r="AC230" s="19">
        <f t="shared" si="90"/>
        <v>0</v>
      </c>
      <c r="AD230" s="19">
        <f t="shared" si="101"/>
        <v>152.57774470627362</v>
      </c>
      <c r="AE230" s="23">
        <f t="shared" si="91"/>
        <v>1064.0827447062736</v>
      </c>
      <c r="AF230" s="27">
        <f>(1/(2*LOG(3.7*$I230/'Calculation Constants'!$B$4*1000)))^2</f>
        <v>1.1575055557914658E-2</v>
      </c>
      <c r="AG230" s="19">
        <f t="shared" si="92"/>
        <v>1.6876908272744866</v>
      </c>
      <c r="AH230" s="19">
        <f>IF($H230&gt;0,'Calculation Constants'!$B$9*Hydraulics!$K230^2/2/9.81/MAX($F$4:$F$253)*$H230,"")</f>
        <v>7.8734226558858159E-2</v>
      </c>
      <c r="AI230" s="19">
        <f t="shared" si="102"/>
        <v>1.7664250538333448</v>
      </c>
      <c r="AJ230" s="19">
        <f t="shared" si="93"/>
        <v>0</v>
      </c>
      <c r="AK230" s="19">
        <f t="shared" si="103"/>
        <v>132.5239893590757</v>
      </c>
      <c r="AL230" s="23">
        <f t="shared" si="94"/>
        <v>1044.0289893590757</v>
      </c>
      <c r="AM230" s="22">
        <f>(1/(2*LOG(3.7*($I230-0.008)/'Calculation Constants'!$B$5*1000)))^2</f>
        <v>1.4709705891825043E-2</v>
      </c>
      <c r="AN230" s="19">
        <f t="shared" si="104"/>
        <v>2.1543104841910781</v>
      </c>
      <c r="AO230" s="19">
        <f>IF($H230&gt;0,'Calculation Constants'!$B$9*Hydraulics!$K230^2/2/9.81/MAX($F$4:$F$253)*$H230,"")</f>
        <v>7.8734226558858159E-2</v>
      </c>
      <c r="AP230" s="19">
        <f t="shared" si="105"/>
        <v>2.2330447107499363</v>
      </c>
      <c r="AQ230" s="19">
        <f t="shared" si="95"/>
        <v>0</v>
      </c>
      <c r="AR230" s="19">
        <f t="shared" si="106"/>
        <v>96.017699119056374</v>
      </c>
      <c r="AS230" s="23">
        <f t="shared" si="96"/>
        <v>1007.5226991190564</v>
      </c>
    </row>
    <row r="231" spans="5:45">
      <c r="E231" s="35" t="str">
        <f t="shared" si="82"/>
        <v/>
      </c>
      <c r="F231" s="19">
        <f>'Profile data'!A231</f>
        <v>456</v>
      </c>
      <c r="G231" s="19">
        <f>VLOOKUP(F231,'Profile data'!A231:C490,IF($B$22="Botswana 1",2,3))</f>
        <v>903.61</v>
      </c>
      <c r="H231" s="19">
        <f t="shared" si="107"/>
        <v>2</v>
      </c>
      <c r="I231" s="19">
        <v>1.8</v>
      </c>
      <c r="J231" s="36">
        <f>'Flow Rate Calculations'!$B$7</f>
        <v>4.0831050228310497</v>
      </c>
      <c r="K231" s="36">
        <f t="shared" si="97"/>
        <v>1.6045588828318709</v>
      </c>
      <c r="L231" s="37">
        <f>$I231*$K231/'Calculation Constants'!$B$7</f>
        <v>2555934.503625989</v>
      </c>
      <c r="M231" s="37" t="str">
        <f t="shared" si="83"/>
        <v>Greater Dynamic Pressures</v>
      </c>
      <c r="N231" s="23">
        <f t="shared" si="98"/>
        <v>171.41864328586564</v>
      </c>
      <c r="O231" s="55">
        <f t="shared" si="84"/>
        <v>158.96204724288043</v>
      </c>
      <c r="P231" s="64">
        <f>MAX(I231*1000/'Calculation Constants'!$B$14,O231*10*I231*1000/2/('Calculation Constants'!$B$12*1000*'Calculation Constants'!$B$13))</f>
        <v>11.25</v>
      </c>
      <c r="Q231" s="66">
        <f t="shared" si="85"/>
        <v>992548.40161508287</v>
      </c>
      <c r="R231" s="27">
        <f>(1/(2*LOG(3.7*$I231/'Calculation Constants'!$B$2*1000)))^2</f>
        <v>8.7463077071963571E-3</v>
      </c>
      <c r="S231" s="19">
        <f t="shared" si="99"/>
        <v>1.2752477269849725</v>
      </c>
      <c r="T231" s="19">
        <f>IF($H231&gt;0,'Calculation Constants'!$B$9*Hydraulics!$K231^2/2/9.81/MAX($F$4:$F$253)*$H231,"")</f>
        <v>7.8734226558858159E-2</v>
      </c>
      <c r="U231" s="19">
        <f t="shared" si="100"/>
        <v>1.3539819535438307</v>
      </c>
      <c r="V231" s="19">
        <f t="shared" si="86"/>
        <v>0</v>
      </c>
      <c r="W231" s="19">
        <f t="shared" si="87"/>
        <v>171.41864328586564</v>
      </c>
      <c r="X231" s="23">
        <f t="shared" si="88"/>
        <v>1075.0286432858657</v>
      </c>
      <c r="Y231" s="22">
        <f>(1/(2*LOG(3.7*$I231/'Calculation Constants'!$B$3*1000)))^2</f>
        <v>9.8211436332891755E-3</v>
      </c>
      <c r="Z231" s="19">
        <f t="shared" si="89"/>
        <v>1.431963236834217</v>
      </c>
      <c r="AA231" s="19">
        <f>IF($H231&gt;0,'Calculation Constants'!$B$9*Hydraulics!$K231^2/2/9.81/MAX($F$4:$F$253)*$H231,"")</f>
        <v>7.8734226558858159E-2</v>
      </c>
      <c r="AB231" s="19">
        <f t="shared" si="108"/>
        <v>1.5106974633930752</v>
      </c>
      <c r="AC231" s="19">
        <f t="shared" si="90"/>
        <v>0</v>
      </c>
      <c r="AD231" s="19">
        <f t="shared" si="101"/>
        <v>158.96204724288043</v>
      </c>
      <c r="AE231" s="23">
        <f t="shared" si="91"/>
        <v>1062.5720472428804</v>
      </c>
      <c r="AF231" s="27">
        <f>(1/(2*LOG(3.7*$I231/'Calculation Constants'!$B$4*1000)))^2</f>
        <v>1.1575055557914658E-2</v>
      </c>
      <c r="AG231" s="19">
        <f t="shared" si="92"/>
        <v>1.6876908272744866</v>
      </c>
      <c r="AH231" s="19">
        <f>IF($H231&gt;0,'Calculation Constants'!$B$9*Hydraulics!$K231^2/2/9.81/MAX($F$4:$F$253)*$H231,"")</f>
        <v>7.8734226558858159E-2</v>
      </c>
      <c r="AI231" s="19">
        <f t="shared" si="102"/>
        <v>1.7664250538333448</v>
      </c>
      <c r="AJ231" s="19">
        <f t="shared" si="93"/>
        <v>0</v>
      </c>
      <c r="AK231" s="19">
        <f t="shared" si="103"/>
        <v>138.65256430524244</v>
      </c>
      <c r="AL231" s="23">
        <f t="shared" si="94"/>
        <v>1042.2625643052424</v>
      </c>
      <c r="AM231" s="22">
        <f>(1/(2*LOG(3.7*($I231-0.008)/'Calculation Constants'!$B$5*1000)))^2</f>
        <v>1.4709705891825043E-2</v>
      </c>
      <c r="AN231" s="19">
        <f t="shared" si="104"/>
        <v>2.1543104841910781</v>
      </c>
      <c r="AO231" s="19">
        <f>IF($H231&gt;0,'Calculation Constants'!$B$9*Hydraulics!$K231^2/2/9.81/MAX($F$4:$F$253)*$H231,"")</f>
        <v>7.8734226558858159E-2</v>
      </c>
      <c r="AP231" s="19">
        <f t="shared" si="105"/>
        <v>2.2330447107499363</v>
      </c>
      <c r="AQ231" s="19">
        <f t="shared" si="95"/>
        <v>0</v>
      </c>
      <c r="AR231" s="19">
        <f t="shared" si="106"/>
        <v>101.67965440830642</v>
      </c>
      <c r="AS231" s="23">
        <f t="shared" si="96"/>
        <v>1005.2896544083064</v>
      </c>
    </row>
    <row r="232" spans="5:45">
      <c r="E232" s="35" t="str">
        <f t="shared" si="82"/>
        <v/>
      </c>
      <c r="F232" s="19">
        <f>'Profile data'!A232</f>
        <v>458</v>
      </c>
      <c r="G232" s="19">
        <f>VLOOKUP(F232,'Profile data'!A232:C491,IF($B$22="Botswana 1",2,3))</f>
        <v>900.63</v>
      </c>
      <c r="H232" s="19">
        <f t="shared" si="107"/>
        <v>2</v>
      </c>
      <c r="I232" s="19">
        <v>1.8</v>
      </c>
      <c r="J232" s="36">
        <f>'Flow Rate Calculations'!$B$7</f>
        <v>4.0831050228310497</v>
      </c>
      <c r="K232" s="36">
        <f t="shared" si="97"/>
        <v>1.6045588828318709</v>
      </c>
      <c r="L232" s="37">
        <f>$I232*$K232/'Calculation Constants'!$B$7</f>
        <v>2555934.503625989</v>
      </c>
      <c r="M232" s="37" t="str">
        <f t="shared" si="83"/>
        <v>Greater Dynamic Pressures</v>
      </c>
      <c r="N232" s="23">
        <f t="shared" si="98"/>
        <v>173.04466133232188</v>
      </c>
      <c r="O232" s="55">
        <f t="shared" si="84"/>
        <v>160.43134977948728</v>
      </c>
      <c r="P232" s="64">
        <f>MAX(I232*1000/'Calculation Constants'!$B$14,O232*10*I232*1000/2/('Calculation Constants'!$B$12*1000*'Calculation Constants'!$B$13))</f>
        <v>11.25</v>
      </c>
      <c r="Q232" s="66">
        <f t="shared" si="85"/>
        <v>992548.40161508287</v>
      </c>
      <c r="R232" s="27">
        <f>(1/(2*LOG(3.7*$I232/'Calculation Constants'!$B$2*1000)))^2</f>
        <v>8.7463077071963571E-3</v>
      </c>
      <c r="S232" s="19">
        <f t="shared" si="99"/>
        <v>1.2752477269849725</v>
      </c>
      <c r="T232" s="19">
        <f>IF($H232&gt;0,'Calculation Constants'!$B$9*Hydraulics!$K232^2/2/9.81/MAX($F$4:$F$253)*$H232,"")</f>
        <v>7.8734226558858159E-2</v>
      </c>
      <c r="U232" s="19">
        <f t="shared" si="100"/>
        <v>1.3539819535438307</v>
      </c>
      <c r="V232" s="19">
        <f t="shared" si="86"/>
        <v>0</v>
      </c>
      <c r="W232" s="19">
        <f t="shared" si="87"/>
        <v>173.04466133232188</v>
      </c>
      <c r="X232" s="23">
        <f t="shared" si="88"/>
        <v>1073.6746613323219</v>
      </c>
      <c r="Y232" s="22">
        <f>(1/(2*LOG(3.7*$I232/'Calculation Constants'!$B$3*1000)))^2</f>
        <v>9.8211436332891755E-3</v>
      </c>
      <c r="Z232" s="19">
        <f t="shared" si="89"/>
        <v>1.431963236834217</v>
      </c>
      <c r="AA232" s="19">
        <f>IF($H232&gt;0,'Calculation Constants'!$B$9*Hydraulics!$K232^2/2/9.81/MAX($F$4:$F$253)*$H232,"")</f>
        <v>7.8734226558858159E-2</v>
      </c>
      <c r="AB232" s="19">
        <f t="shared" si="108"/>
        <v>1.5106974633930752</v>
      </c>
      <c r="AC232" s="19">
        <f t="shared" si="90"/>
        <v>0</v>
      </c>
      <c r="AD232" s="19">
        <f t="shared" si="101"/>
        <v>160.43134977948728</v>
      </c>
      <c r="AE232" s="23">
        <f t="shared" si="91"/>
        <v>1061.0613497794873</v>
      </c>
      <c r="AF232" s="27">
        <f>(1/(2*LOG(3.7*$I232/'Calculation Constants'!$B$4*1000)))^2</f>
        <v>1.1575055557914658E-2</v>
      </c>
      <c r="AG232" s="19">
        <f t="shared" si="92"/>
        <v>1.6876908272744866</v>
      </c>
      <c r="AH232" s="19">
        <f>IF($H232&gt;0,'Calculation Constants'!$B$9*Hydraulics!$K232^2/2/9.81/MAX($F$4:$F$253)*$H232,"")</f>
        <v>7.8734226558858159E-2</v>
      </c>
      <c r="AI232" s="19">
        <f t="shared" si="102"/>
        <v>1.7664250538333448</v>
      </c>
      <c r="AJ232" s="19">
        <f t="shared" si="93"/>
        <v>0</v>
      </c>
      <c r="AK232" s="19">
        <f t="shared" si="103"/>
        <v>139.86613925140921</v>
      </c>
      <c r="AL232" s="23">
        <f t="shared" si="94"/>
        <v>1040.4961392514092</v>
      </c>
      <c r="AM232" s="22">
        <f>(1/(2*LOG(3.7*($I232-0.008)/'Calculation Constants'!$B$5*1000)))^2</f>
        <v>1.4709705891825043E-2</v>
      </c>
      <c r="AN232" s="19">
        <f t="shared" si="104"/>
        <v>2.1543104841910781</v>
      </c>
      <c r="AO232" s="19">
        <f>IF($H232&gt;0,'Calculation Constants'!$B$9*Hydraulics!$K232^2/2/9.81/MAX($F$4:$F$253)*$H232,"")</f>
        <v>7.8734226558858159E-2</v>
      </c>
      <c r="AP232" s="19">
        <f t="shared" si="105"/>
        <v>2.2330447107499363</v>
      </c>
      <c r="AQ232" s="19">
        <f t="shared" si="95"/>
        <v>0</v>
      </c>
      <c r="AR232" s="19">
        <f t="shared" si="106"/>
        <v>102.4266096975565</v>
      </c>
      <c r="AS232" s="23">
        <f t="shared" si="96"/>
        <v>1003.0566096975565</v>
      </c>
    </row>
    <row r="233" spans="5:45">
      <c r="E233" s="35" t="str">
        <f t="shared" si="82"/>
        <v/>
      </c>
      <c r="F233" s="19">
        <f>'Profile data'!A233</f>
        <v>460</v>
      </c>
      <c r="G233" s="19">
        <f>VLOOKUP(F233,'Profile data'!A233:C492,IF($B$22="Botswana 1",2,3))</f>
        <v>904.06600000000003</v>
      </c>
      <c r="H233" s="19">
        <f t="shared" si="107"/>
        <v>2</v>
      </c>
      <c r="I233" s="19">
        <v>1.8</v>
      </c>
      <c r="J233" s="36">
        <f>'Flow Rate Calculations'!$B$7</f>
        <v>4.0831050228310497</v>
      </c>
      <c r="K233" s="36">
        <f t="shared" si="97"/>
        <v>1.6045588828318709</v>
      </c>
      <c r="L233" s="37">
        <f>$I233*$K233/'Calculation Constants'!$B$7</f>
        <v>2555934.503625989</v>
      </c>
      <c r="M233" s="37" t="str">
        <f t="shared" si="83"/>
        <v>Greater Dynamic Pressures</v>
      </c>
      <c r="N233" s="23">
        <f t="shared" si="98"/>
        <v>168.25467937877806</v>
      </c>
      <c r="O233" s="55">
        <f t="shared" si="84"/>
        <v>155.48465231609407</v>
      </c>
      <c r="P233" s="64">
        <f>MAX(I233*1000/'Calculation Constants'!$B$14,O233*10*I233*1000/2/('Calculation Constants'!$B$12*1000*'Calculation Constants'!$B$13))</f>
        <v>11.25</v>
      </c>
      <c r="Q233" s="66">
        <f t="shared" si="85"/>
        <v>992548.40161508287</v>
      </c>
      <c r="R233" s="27">
        <f>(1/(2*LOG(3.7*$I233/'Calculation Constants'!$B$2*1000)))^2</f>
        <v>8.7463077071963571E-3</v>
      </c>
      <c r="S233" s="19">
        <f t="shared" si="99"/>
        <v>1.2752477269849725</v>
      </c>
      <c r="T233" s="19">
        <f>IF($H233&gt;0,'Calculation Constants'!$B$9*Hydraulics!$K233^2/2/9.81/MAX($F$4:$F$253)*$H233,"")</f>
        <v>7.8734226558858159E-2</v>
      </c>
      <c r="U233" s="19">
        <f t="shared" si="100"/>
        <v>1.3539819535438307</v>
      </c>
      <c r="V233" s="19">
        <f t="shared" si="86"/>
        <v>0</v>
      </c>
      <c r="W233" s="19">
        <f t="shared" si="87"/>
        <v>168.25467937877806</v>
      </c>
      <c r="X233" s="23">
        <f t="shared" si="88"/>
        <v>1072.3206793787781</v>
      </c>
      <c r="Y233" s="22">
        <f>(1/(2*LOG(3.7*$I233/'Calculation Constants'!$B$3*1000)))^2</f>
        <v>9.8211436332891755E-3</v>
      </c>
      <c r="Z233" s="19">
        <f t="shared" si="89"/>
        <v>1.431963236834217</v>
      </c>
      <c r="AA233" s="19">
        <f>IF($H233&gt;0,'Calculation Constants'!$B$9*Hydraulics!$K233^2/2/9.81/MAX($F$4:$F$253)*$H233,"")</f>
        <v>7.8734226558858159E-2</v>
      </c>
      <c r="AB233" s="19">
        <f t="shared" si="108"/>
        <v>1.5106974633930752</v>
      </c>
      <c r="AC233" s="19">
        <f t="shared" si="90"/>
        <v>0</v>
      </c>
      <c r="AD233" s="19">
        <f t="shared" si="101"/>
        <v>155.48465231609407</v>
      </c>
      <c r="AE233" s="23">
        <f t="shared" si="91"/>
        <v>1059.5506523160941</v>
      </c>
      <c r="AF233" s="27">
        <f>(1/(2*LOG(3.7*$I233/'Calculation Constants'!$B$4*1000)))^2</f>
        <v>1.1575055557914658E-2</v>
      </c>
      <c r="AG233" s="19">
        <f t="shared" si="92"/>
        <v>1.6876908272744866</v>
      </c>
      <c r="AH233" s="19">
        <f>IF($H233&gt;0,'Calculation Constants'!$B$9*Hydraulics!$K233^2/2/9.81/MAX($F$4:$F$253)*$H233,"")</f>
        <v>7.8734226558858159E-2</v>
      </c>
      <c r="AI233" s="19">
        <f t="shared" si="102"/>
        <v>1.7664250538333448</v>
      </c>
      <c r="AJ233" s="19">
        <f t="shared" si="93"/>
        <v>0</v>
      </c>
      <c r="AK233" s="19">
        <f t="shared" si="103"/>
        <v>134.66371419757593</v>
      </c>
      <c r="AL233" s="23">
        <f t="shared" si="94"/>
        <v>1038.729714197576</v>
      </c>
      <c r="AM233" s="22">
        <f>(1/(2*LOG(3.7*($I233-0.008)/'Calculation Constants'!$B$5*1000)))^2</f>
        <v>1.4709705891825043E-2</v>
      </c>
      <c r="AN233" s="19">
        <f t="shared" si="104"/>
        <v>2.1543104841910781</v>
      </c>
      <c r="AO233" s="19">
        <f>IF($H233&gt;0,'Calculation Constants'!$B$9*Hydraulics!$K233^2/2/9.81/MAX($F$4:$F$253)*$H233,"")</f>
        <v>7.8734226558858159E-2</v>
      </c>
      <c r="AP233" s="19">
        <f t="shared" si="105"/>
        <v>2.2330447107499363</v>
      </c>
      <c r="AQ233" s="19">
        <f t="shared" si="95"/>
        <v>0</v>
      </c>
      <c r="AR233" s="19">
        <f t="shared" si="106"/>
        <v>96.757564986806528</v>
      </c>
      <c r="AS233" s="23">
        <f t="shared" si="96"/>
        <v>1000.8235649868066</v>
      </c>
    </row>
    <row r="234" spans="5:45">
      <c r="E234" s="35" t="str">
        <f t="shared" si="82"/>
        <v/>
      </c>
      <c r="F234" s="19">
        <f>'Profile data'!A234</f>
        <v>462</v>
      </c>
      <c r="G234" s="19">
        <f>VLOOKUP(F234,'Profile data'!A234:C493,IF($B$22="Botswana 1",2,3))</f>
        <v>915.09199999999998</v>
      </c>
      <c r="H234" s="19">
        <f t="shared" si="107"/>
        <v>2</v>
      </c>
      <c r="I234" s="19">
        <v>1.8</v>
      </c>
      <c r="J234" s="36">
        <f>'Flow Rate Calculations'!$B$7</f>
        <v>4.0831050228310497</v>
      </c>
      <c r="K234" s="36">
        <f t="shared" si="97"/>
        <v>1.6045588828318709</v>
      </c>
      <c r="L234" s="37">
        <f>$I234*$K234/'Calculation Constants'!$B$7</f>
        <v>2555934.503625989</v>
      </c>
      <c r="M234" s="37" t="str">
        <f t="shared" si="83"/>
        <v>Greater Dynamic Pressures</v>
      </c>
      <c r="N234" s="23">
        <f t="shared" si="98"/>
        <v>155.87469742523433</v>
      </c>
      <c r="O234" s="55">
        <f t="shared" si="84"/>
        <v>142.94795485270095</v>
      </c>
      <c r="P234" s="64">
        <f>MAX(I234*1000/'Calculation Constants'!$B$14,O234*10*I234*1000/2/('Calculation Constants'!$B$12*1000*'Calculation Constants'!$B$13))</f>
        <v>11.25</v>
      </c>
      <c r="Q234" s="66">
        <f t="shared" si="85"/>
        <v>992548.40161508287</v>
      </c>
      <c r="R234" s="27">
        <f>(1/(2*LOG(3.7*$I234/'Calculation Constants'!$B$2*1000)))^2</f>
        <v>8.7463077071963571E-3</v>
      </c>
      <c r="S234" s="19">
        <f t="shared" si="99"/>
        <v>1.2752477269849725</v>
      </c>
      <c r="T234" s="19">
        <f>IF($H234&gt;0,'Calculation Constants'!$B$9*Hydraulics!$K234^2/2/9.81/MAX($F$4:$F$253)*$H234,"")</f>
        <v>7.8734226558858159E-2</v>
      </c>
      <c r="U234" s="19">
        <f t="shared" si="100"/>
        <v>1.3539819535438307</v>
      </c>
      <c r="V234" s="19">
        <f t="shared" si="86"/>
        <v>0</v>
      </c>
      <c r="W234" s="19">
        <f t="shared" si="87"/>
        <v>155.87469742523433</v>
      </c>
      <c r="X234" s="23">
        <f t="shared" si="88"/>
        <v>1070.9666974252343</v>
      </c>
      <c r="Y234" s="22">
        <f>(1/(2*LOG(3.7*$I234/'Calculation Constants'!$B$3*1000)))^2</f>
        <v>9.8211436332891755E-3</v>
      </c>
      <c r="Z234" s="19">
        <f t="shared" si="89"/>
        <v>1.431963236834217</v>
      </c>
      <c r="AA234" s="19">
        <f>IF($H234&gt;0,'Calculation Constants'!$B$9*Hydraulics!$K234^2/2/9.81/MAX($F$4:$F$253)*$H234,"")</f>
        <v>7.8734226558858159E-2</v>
      </c>
      <c r="AB234" s="19">
        <f t="shared" si="108"/>
        <v>1.5106974633930752</v>
      </c>
      <c r="AC234" s="19">
        <f t="shared" si="90"/>
        <v>0</v>
      </c>
      <c r="AD234" s="19">
        <f t="shared" si="101"/>
        <v>142.94795485270095</v>
      </c>
      <c r="AE234" s="23">
        <f t="shared" si="91"/>
        <v>1058.0399548527009</v>
      </c>
      <c r="AF234" s="27">
        <f>(1/(2*LOG(3.7*$I234/'Calculation Constants'!$B$4*1000)))^2</f>
        <v>1.1575055557914658E-2</v>
      </c>
      <c r="AG234" s="19">
        <f t="shared" si="92"/>
        <v>1.6876908272744866</v>
      </c>
      <c r="AH234" s="19">
        <f>IF($H234&gt;0,'Calculation Constants'!$B$9*Hydraulics!$K234^2/2/9.81/MAX($F$4:$F$253)*$H234,"")</f>
        <v>7.8734226558858159E-2</v>
      </c>
      <c r="AI234" s="19">
        <f t="shared" si="102"/>
        <v>1.7664250538333448</v>
      </c>
      <c r="AJ234" s="19">
        <f t="shared" si="93"/>
        <v>0</v>
      </c>
      <c r="AK234" s="19">
        <f t="shared" si="103"/>
        <v>121.87128914374273</v>
      </c>
      <c r="AL234" s="23">
        <f t="shared" si="94"/>
        <v>1036.9632891437427</v>
      </c>
      <c r="AM234" s="22">
        <f>(1/(2*LOG(3.7*($I234-0.008)/'Calculation Constants'!$B$5*1000)))^2</f>
        <v>1.4709705891825043E-2</v>
      </c>
      <c r="AN234" s="19">
        <f t="shared" si="104"/>
        <v>2.1543104841910781</v>
      </c>
      <c r="AO234" s="19">
        <f>IF($H234&gt;0,'Calculation Constants'!$B$9*Hydraulics!$K234^2/2/9.81/MAX($F$4:$F$253)*$H234,"")</f>
        <v>7.8734226558858159E-2</v>
      </c>
      <c r="AP234" s="19">
        <f t="shared" si="105"/>
        <v>2.2330447107499363</v>
      </c>
      <c r="AQ234" s="19">
        <f t="shared" si="95"/>
        <v>0</v>
      </c>
      <c r="AR234" s="19">
        <f t="shared" si="106"/>
        <v>83.498520276056638</v>
      </c>
      <c r="AS234" s="23">
        <f t="shared" si="96"/>
        <v>998.59052027605662</v>
      </c>
    </row>
    <row r="235" spans="5:45">
      <c r="E235" s="35" t="str">
        <f t="shared" si="82"/>
        <v/>
      </c>
      <c r="F235" s="19">
        <f>'Profile data'!A235</f>
        <v>464</v>
      </c>
      <c r="G235" s="19">
        <f>VLOOKUP(F235,'Profile data'!A235:C494,IF($B$22="Botswana 1",2,3))</f>
        <v>905.55600000000004</v>
      </c>
      <c r="H235" s="19">
        <f t="shared" si="107"/>
        <v>2</v>
      </c>
      <c r="I235" s="19">
        <v>1.8</v>
      </c>
      <c r="J235" s="36">
        <f>'Flow Rate Calculations'!$B$7</f>
        <v>4.0831050228310497</v>
      </c>
      <c r="K235" s="36">
        <f t="shared" si="97"/>
        <v>1.6045588828318709</v>
      </c>
      <c r="L235" s="37">
        <f>$I235*$K235/'Calculation Constants'!$B$7</f>
        <v>2555934.503625989</v>
      </c>
      <c r="M235" s="37" t="str">
        <f t="shared" si="83"/>
        <v>Greater Dynamic Pressures</v>
      </c>
      <c r="N235" s="23">
        <f t="shared" si="98"/>
        <v>164.0567154716905</v>
      </c>
      <c r="O235" s="55">
        <f t="shared" si="84"/>
        <v>150.97325738930772</v>
      </c>
      <c r="P235" s="64">
        <f>MAX(I235*1000/'Calculation Constants'!$B$14,O235*10*I235*1000/2/('Calculation Constants'!$B$12*1000*'Calculation Constants'!$B$13))</f>
        <v>11.25</v>
      </c>
      <c r="Q235" s="66">
        <f t="shared" si="85"/>
        <v>992548.40161508287</v>
      </c>
      <c r="R235" s="27">
        <f>(1/(2*LOG(3.7*$I235/'Calculation Constants'!$B$2*1000)))^2</f>
        <v>8.7463077071963571E-3</v>
      </c>
      <c r="S235" s="19">
        <f t="shared" si="99"/>
        <v>1.2752477269849725</v>
      </c>
      <c r="T235" s="19">
        <f>IF($H235&gt;0,'Calculation Constants'!$B$9*Hydraulics!$K235^2/2/9.81/MAX($F$4:$F$253)*$H235,"")</f>
        <v>7.8734226558858159E-2</v>
      </c>
      <c r="U235" s="19">
        <f t="shared" si="100"/>
        <v>1.3539819535438307</v>
      </c>
      <c r="V235" s="19">
        <f t="shared" si="86"/>
        <v>0</v>
      </c>
      <c r="W235" s="19">
        <f t="shared" si="87"/>
        <v>164.0567154716905</v>
      </c>
      <c r="X235" s="23">
        <f t="shared" si="88"/>
        <v>1069.6127154716905</v>
      </c>
      <c r="Y235" s="22">
        <f>(1/(2*LOG(3.7*$I235/'Calculation Constants'!$B$3*1000)))^2</f>
        <v>9.8211436332891755E-3</v>
      </c>
      <c r="Z235" s="19">
        <f t="shared" si="89"/>
        <v>1.431963236834217</v>
      </c>
      <c r="AA235" s="19">
        <f>IF($H235&gt;0,'Calculation Constants'!$B$9*Hydraulics!$K235^2/2/9.81/MAX($F$4:$F$253)*$H235,"")</f>
        <v>7.8734226558858159E-2</v>
      </c>
      <c r="AB235" s="19">
        <f t="shared" si="108"/>
        <v>1.5106974633930752</v>
      </c>
      <c r="AC235" s="19">
        <f t="shared" si="90"/>
        <v>0</v>
      </c>
      <c r="AD235" s="19">
        <f t="shared" si="101"/>
        <v>150.97325738930772</v>
      </c>
      <c r="AE235" s="23">
        <f t="shared" si="91"/>
        <v>1056.5292573893078</v>
      </c>
      <c r="AF235" s="27">
        <f>(1/(2*LOG(3.7*$I235/'Calculation Constants'!$B$4*1000)))^2</f>
        <v>1.1575055557914658E-2</v>
      </c>
      <c r="AG235" s="19">
        <f t="shared" si="92"/>
        <v>1.6876908272744866</v>
      </c>
      <c r="AH235" s="19">
        <f>IF($H235&gt;0,'Calculation Constants'!$B$9*Hydraulics!$K235^2/2/9.81/MAX($F$4:$F$253)*$H235,"")</f>
        <v>7.8734226558858159E-2</v>
      </c>
      <c r="AI235" s="19">
        <f t="shared" si="102"/>
        <v>1.7664250538333448</v>
      </c>
      <c r="AJ235" s="19">
        <f t="shared" si="93"/>
        <v>0</v>
      </c>
      <c r="AK235" s="19">
        <f t="shared" si="103"/>
        <v>129.64086408990943</v>
      </c>
      <c r="AL235" s="23">
        <f t="shared" si="94"/>
        <v>1035.1968640899095</v>
      </c>
      <c r="AM235" s="22">
        <f>(1/(2*LOG(3.7*($I235-0.008)/'Calculation Constants'!$B$5*1000)))^2</f>
        <v>1.4709705891825043E-2</v>
      </c>
      <c r="AN235" s="19">
        <f t="shared" si="104"/>
        <v>2.1543104841910781</v>
      </c>
      <c r="AO235" s="19">
        <f>IF($H235&gt;0,'Calculation Constants'!$B$9*Hydraulics!$K235^2/2/9.81/MAX($F$4:$F$253)*$H235,"")</f>
        <v>7.8734226558858159E-2</v>
      </c>
      <c r="AP235" s="19">
        <f t="shared" si="105"/>
        <v>2.2330447107499363</v>
      </c>
      <c r="AQ235" s="19">
        <f t="shared" si="95"/>
        <v>0</v>
      </c>
      <c r="AR235" s="19">
        <f t="shared" si="106"/>
        <v>90.801475565306646</v>
      </c>
      <c r="AS235" s="23">
        <f t="shared" si="96"/>
        <v>996.35747556530669</v>
      </c>
    </row>
    <row r="236" spans="5:45">
      <c r="E236" s="35" t="str">
        <f t="shared" si="82"/>
        <v/>
      </c>
      <c r="F236" s="19">
        <f>'Profile data'!A236</f>
        <v>466</v>
      </c>
      <c r="G236" s="19">
        <f>VLOOKUP(F236,'Profile data'!A236:C495,IF($B$22="Botswana 1",2,3))</f>
        <v>905.27099999999996</v>
      </c>
      <c r="H236" s="19">
        <f t="shared" si="107"/>
        <v>2</v>
      </c>
      <c r="I236" s="19">
        <v>1.8</v>
      </c>
      <c r="J236" s="36">
        <f>'Flow Rate Calculations'!$B$7</f>
        <v>4.0831050228310497</v>
      </c>
      <c r="K236" s="36">
        <f t="shared" si="97"/>
        <v>1.6045588828318709</v>
      </c>
      <c r="L236" s="37">
        <f>$I236*$K236/'Calculation Constants'!$B$7</f>
        <v>2555934.503625989</v>
      </c>
      <c r="M236" s="37" t="str">
        <f t="shared" si="83"/>
        <v>Greater Dynamic Pressures</v>
      </c>
      <c r="N236" s="23">
        <f t="shared" si="98"/>
        <v>162.9877335181468</v>
      </c>
      <c r="O236" s="55">
        <f t="shared" si="84"/>
        <v>149.74755992591463</v>
      </c>
      <c r="P236" s="64">
        <f>MAX(I236*1000/'Calculation Constants'!$B$14,O236*10*I236*1000/2/('Calculation Constants'!$B$12*1000*'Calculation Constants'!$B$13))</f>
        <v>11.25</v>
      </c>
      <c r="Q236" s="66">
        <f t="shared" si="85"/>
        <v>992548.40161508287</v>
      </c>
      <c r="R236" s="27">
        <f>(1/(2*LOG(3.7*$I236/'Calculation Constants'!$B$2*1000)))^2</f>
        <v>8.7463077071963571E-3</v>
      </c>
      <c r="S236" s="19">
        <f t="shared" si="99"/>
        <v>1.2752477269849725</v>
      </c>
      <c r="T236" s="19">
        <f>IF($H236&gt;0,'Calculation Constants'!$B$9*Hydraulics!$K236^2/2/9.81/MAX($F$4:$F$253)*$H236,"")</f>
        <v>7.8734226558858159E-2</v>
      </c>
      <c r="U236" s="19">
        <f t="shared" si="100"/>
        <v>1.3539819535438307</v>
      </c>
      <c r="V236" s="19">
        <f t="shared" si="86"/>
        <v>0</v>
      </c>
      <c r="W236" s="19">
        <f t="shared" si="87"/>
        <v>162.9877335181468</v>
      </c>
      <c r="X236" s="23">
        <f t="shared" si="88"/>
        <v>1068.2587335181468</v>
      </c>
      <c r="Y236" s="22">
        <f>(1/(2*LOG(3.7*$I236/'Calculation Constants'!$B$3*1000)))^2</f>
        <v>9.8211436332891755E-3</v>
      </c>
      <c r="Z236" s="19">
        <f t="shared" si="89"/>
        <v>1.431963236834217</v>
      </c>
      <c r="AA236" s="19">
        <f>IF($H236&gt;0,'Calculation Constants'!$B$9*Hydraulics!$K236^2/2/9.81/MAX($F$4:$F$253)*$H236,"")</f>
        <v>7.8734226558858159E-2</v>
      </c>
      <c r="AB236" s="19">
        <f t="shared" si="108"/>
        <v>1.5106974633930752</v>
      </c>
      <c r="AC236" s="19">
        <f t="shared" si="90"/>
        <v>0</v>
      </c>
      <c r="AD236" s="19">
        <f t="shared" si="101"/>
        <v>149.74755992591463</v>
      </c>
      <c r="AE236" s="23">
        <f t="shared" si="91"/>
        <v>1055.0185599259146</v>
      </c>
      <c r="AF236" s="27">
        <f>(1/(2*LOG(3.7*$I236/'Calculation Constants'!$B$4*1000)))^2</f>
        <v>1.1575055557914658E-2</v>
      </c>
      <c r="AG236" s="19">
        <f t="shared" si="92"/>
        <v>1.6876908272744866</v>
      </c>
      <c r="AH236" s="19">
        <f>IF($H236&gt;0,'Calculation Constants'!$B$9*Hydraulics!$K236^2/2/9.81/MAX($F$4:$F$253)*$H236,"")</f>
        <v>7.8734226558858159E-2</v>
      </c>
      <c r="AI236" s="19">
        <f t="shared" si="102"/>
        <v>1.7664250538333448</v>
      </c>
      <c r="AJ236" s="19">
        <f t="shared" si="93"/>
        <v>0</v>
      </c>
      <c r="AK236" s="19">
        <f t="shared" si="103"/>
        <v>128.15943903607626</v>
      </c>
      <c r="AL236" s="23">
        <f t="shared" si="94"/>
        <v>1033.4304390360762</v>
      </c>
      <c r="AM236" s="22">
        <f>(1/(2*LOG(3.7*($I236-0.008)/'Calculation Constants'!$B$5*1000)))^2</f>
        <v>1.4709705891825043E-2</v>
      </c>
      <c r="AN236" s="19">
        <f t="shared" si="104"/>
        <v>2.1543104841910781</v>
      </c>
      <c r="AO236" s="19">
        <f>IF($H236&gt;0,'Calculation Constants'!$B$9*Hydraulics!$K236^2/2/9.81/MAX($F$4:$F$253)*$H236,"")</f>
        <v>7.8734226558858159E-2</v>
      </c>
      <c r="AP236" s="19">
        <f t="shared" si="105"/>
        <v>2.2330447107499363</v>
      </c>
      <c r="AQ236" s="19">
        <f t="shared" si="95"/>
        <v>0</v>
      </c>
      <c r="AR236" s="19">
        <f t="shared" si="106"/>
        <v>88.853430854556791</v>
      </c>
      <c r="AS236" s="23">
        <f t="shared" si="96"/>
        <v>994.12443085455675</v>
      </c>
    </row>
    <row r="237" spans="5:45">
      <c r="E237" s="35" t="str">
        <f t="shared" si="82"/>
        <v/>
      </c>
      <c r="F237" s="19">
        <f>'Profile data'!A237</f>
        <v>468</v>
      </c>
      <c r="G237" s="19">
        <f>VLOOKUP(F237,'Profile data'!A237:C496,IF($B$22="Botswana 1",2,3))</f>
        <v>901.91800000000001</v>
      </c>
      <c r="H237" s="19">
        <f t="shared" si="107"/>
        <v>2</v>
      </c>
      <c r="I237" s="19">
        <v>1.8</v>
      </c>
      <c r="J237" s="36">
        <f>'Flow Rate Calculations'!$B$7</f>
        <v>4.0831050228310497</v>
      </c>
      <c r="K237" s="36">
        <f t="shared" si="97"/>
        <v>1.6045588828318709</v>
      </c>
      <c r="L237" s="37">
        <f>$I237*$K237/'Calculation Constants'!$B$7</f>
        <v>2555934.503625989</v>
      </c>
      <c r="M237" s="37" t="str">
        <f t="shared" si="83"/>
        <v>Greater Dynamic Pressures</v>
      </c>
      <c r="N237" s="23">
        <f t="shared" si="98"/>
        <v>164.98675156460297</v>
      </c>
      <c r="O237" s="55">
        <f t="shared" si="84"/>
        <v>151.58986246252141</v>
      </c>
      <c r="P237" s="64">
        <f>MAX(I237*1000/'Calculation Constants'!$B$14,O237*10*I237*1000/2/('Calculation Constants'!$B$12*1000*'Calculation Constants'!$B$13))</f>
        <v>11.25</v>
      </c>
      <c r="Q237" s="66">
        <f t="shared" si="85"/>
        <v>992548.40161508287</v>
      </c>
      <c r="R237" s="27">
        <f>(1/(2*LOG(3.7*$I237/'Calculation Constants'!$B$2*1000)))^2</f>
        <v>8.7463077071963571E-3</v>
      </c>
      <c r="S237" s="19">
        <f t="shared" si="99"/>
        <v>1.2752477269849725</v>
      </c>
      <c r="T237" s="19">
        <f>IF($H237&gt;0,'Calculation Constants'!$B$9*Hydraulics!$K237^2/2/9.81/MAX($F$4:$F$253)*$H237,"")</f>
        <v>7.8734226558858159E-2</v>
      </c>
      <c r="U237" s="19">
        <f t="shared" si="100"/>
        <v>1.3539819535438307</v>
      </c>
      <c r="V237" s="19">
        <f t="shared" si="86"/>
        <v>0</v>
      </c>
      <c r="W237" s="19">
        <f t="shared" si="87"/>
        <v>164.98675156460297</v>
      </c>
      <c r="X237" s="23">
        <f t="shared" si="88"/>
        <v>1066.904751564603</v>
      </c>
      <c r="Y237" s="22">
        <f>(1/(2*LOG(3.7*$I237/'Calculation Constants'!$B$3*1000)))^2</f>
        <v>9.8211436332891755E-3</v>
      </c>
      <c r="Z237" s="19">
        <f t="shared" si="89"/>
        <v>1.431963236834217</v>
      </c>
      <c r="AA237" s="19">
        <f>IF($H237&gt;0,'Calculation Constants'!$B$9*Hydraulics!$K237^2/2/9.81/MAX($F$4:$F$253)*$H237,"")</f>
        <v>7.8734226558858159E-2</v>
      </c>
      <c r="AB237" s="19">
        <f t="shared" si="108"/>
        <v>1.5106974633930752</v>
      </c>
      <c r="AC237" s="19">
        <f t="shared" si="90"/>
        <v>0</v>
      </c>
      <c r="AD237" s="19">
        <f t="shared" si="101"/>
        <v>151.58986246252141</v>
      </c>
      <c r="AE237" s="23">
        <f t="shared" si="91"/>
        <v>1053.5078624625214</v>
      </c>
      <c r="AF237" s="27">
        <f>(1/(2*LOG(3.7*$I237/'Calculation Constants'!$B$4*1000)))^2</f>
        <v>1.1575055557914658E-2</v>
      </c>
      <c r="AG237" s="19">
        <f t="shared" si="92"/>
        <v>1.6876908272744866</v>
      </c>
      <c r="AH237" s="19">
        <f>IF($H237&gt;0,'Calculation Constants'!$B$9*Hydraulics!$K237^2/2/9.81/MAX($F$4:$F$253)*$H237,"")</f>
        <v>7.8734226558858159E-2</v>
      </c>
      <c r="AI237" s="19">
        <f t="shared" si="102"/>
        <v>1.7664250538333448</v>
      </c>
      <c r="AJ237" s="19">
        <f t="shared" si="93"/>
        <v>0</v>
      </c>
      <c r="AK237" s="19">
        <f t="shared" si="103"/>
        <v>129.74601398224297</v>
      </c>
      <c r="AL237" s="23">
        <f t="shared" si="94"/>
        <v>1031.664013982243</v>
      </c>
      <c r="AM237" s="22">
        <f>(1/(2*LOG(3.7*($I237-0.008)/'Calculation Constants'!$B$5*1000)))^2</f>
        <v>1.4709705891825043E-2</v>
      </c>
      <c r="AN237" s="19">
        <f t="shared" si="104"/>
        <v>2.1543104841910781</v>
      </c>
      <c r="AO237" s="19">
        <f>IF($H237&gt;0,'Calculation Constants'!$B$9*Hydraulics!$K237^2/2/9.81/MAX($F$4:$F$253)*$H237,"")</f>
        <v>7.8734226558858159E-2</v>
      </c>
      <c r="AP237" s="19">
        <f t="shared" si="105"/>
        <v>2.2330447107499363</v>
      </c>
      <c r="AQ237" s="19">
        <f t="shared" si="95"/>
        <v>0</v>
      </c>
      <c r="AR237" s="19">
        <f t="shared" si="106"/>
        <v>89.973386143806806</v>
      </c>
      <c r="AS237" s="23">
        <f t="shared" si="96"/>
        <v>991.89138614380681</v>
      </c>
    </row>
    <row r="238" spans="5:45">
      <c r="E238" s="35" t="str">
        <f t="shared" si="82"/>
        <v/>
      </c>
      <c r="F238" s="19">
        <f>'Profile data'!A238</f>
        <v>470</v>
      </c>
      <c r="G238" s="19">
        <f>VLOOKUP(F238,'Profile data'!A238:C497,IF($B$22="Botswana 1",2,3))</f>
        <v>895.65099999999995</v>
      </c>
      <c r="H238" s="19">
        <f t="shared" si="107"/>
        <v>2</v>
      </c>
      <c r="I238" s="19">
        <v>1.8</v>
      </c>
      <c r="J238" s="36">
        <f>'Flow Rate Calculations'!$B$7</f>
        <v>4.0831050228310497</v>
      </c>
      <c r="K238" s="36">
        <f t="shared" si="97"/>
        <v>1.6045588828318709</v>
      </c>
      <c r="L238" s="37">
        <f>$I238*$K238/'Calculation Constants'!$B$7</f>
        <v>2555934.503625989</v>
      </c>
      <c r="M238" s="37" t="str">
        <f t="shared" si="83"/>
        <v>Greater Dynamic Pressures</v>
      </c>
      <c r="N238" s="23">
        <f t="shared" si="98"/>
        <v>169.89976961105924</v>
      </c>
      <c r="O238" s="55">
        <f t="shared" si="84"/>
        <v>156.34616499912829</v>
      </c>
      <c r="P238" s="64">
        <f>MAX(I238*1000/'Calculation Constants'!$B$14,O238*10*I238*1000/2/('Calculation Constants'!$B$12*1000*'Calculation Constants'!$B$13))</f>
        <v>11.25</v>
      </c>
      <c r="Q238" s="66">
        <f t="shared" si="85"/>
        <v>992548.40161508287</v>
      </c>
      <c r="R238" s="27">
        <f>(1/(2*LOG(3.7*$I238/'Calculation Constants'!$B$2*1000)))^2</f>
        <v>8.7463077071963571E-3</v>
      </c>
      <c r="S238" s="19">
        <f t="shared" si="99"/>
        <v>1.2752477269849725</v>
      </c>
      <c r="T238" s="19">
        <f>IF($H238&gt;0,'Calculation Constants'!$B$9*Hydraulics!$K238^2/2/9.81/MAX($F$4:$F$253)*$H238,"")</f>
        <v>7.8734226558858159E-2</v>
      </c>
      <c r="U238" s="19">
        <f t="shared" si="100"/>
        <v>1.3539819535438307</v>
      </c>
      <c r="V238" s="19">
        <f t="shared" si="86"/>
        <v>0</v>
      </c>
      <c r="W238" s="19">
        <f t="shared" si="87"/>
        <v>169.89976961105924</v>
      </c>
      <c r="X238" s="23">
        <f t="shared" si="88"/>
        <v>1065.5507696110592</v>
      </c>
      <c r="Y238" s="22">
        <f>(1/(2*LOG(3.7*$I238/'Calculation Constants'!$B$3*1000)))^2</f>
        <v>9.8211436332891755E-3</v>
      </c>
      <c r="Z238" s="19">
        <f t="shared" si="89"/>
        <v>1.431963236834217</v>
      </c>
      <c r="AA238" s="19">
        <f>IF($H238&gt;0,'Calculation Constants'!$B$9*Hydraulics!$K238^2/2/9.81/MAX($F$4:$F$253)*$H238,"")</f>
        <v>7.8734226558858159E-2</v>
      </c>
      <c r="AB238" s="19">
        <f t="shared" si="108"/>
        <v>1.5106974633930752</v>
      </c>
      <c r="AC238" s="19">
        <f t="shared" si="90"/>
        <v>0</v>
      </c>
      <c r="AD238" s="19">
        <f t="shared" si="101"/>
        <v>156.34616499912829</v>
      </c>
      <c r="AE238" s="23">
        <f t="shared" si="91"/>
        <v>1051.9971649991282</v>
      </c>
      <c r="AF238" s="27">
        <f>(1/(2*LOG(3.7*$I238/'Calculation Constants'!$B$4*1000)))^2</f>
        <v>1.1575055557914658E-2</v>
      </c>
      <c r="AG238" s="19">
        <f t="shared" si="92"/>
        <v>1.6876908272744866</v>
      </c>
      <c r="AH238" s="19">
        <f>IF($H238&gt;0,'Calculation Constants'!$B$9*Hydraulics!$K238^2/2/9.81/MAX($F$4:$F$253)*$H238,"")</f>
        <v>7.8734226558858159E-2</v>
      </c>
      <c r="AI238" s="19">
        <f t="shared" si="102"/>
        <v>1.7664250538333448</v>
      </c>
      <c r="AJ238" s="19">
        <f t="shared" si="93"/>
        <v>0</v>
      </c>
      <c r="AK238" s="19">
        <f t="shared" si="103"/>
        <v>134.24658892840978</v>
      </c>
      <c r="AL238" s="23">
        <f t="shared" si="94"/>
        <v>1029.8975889284097</v>
      </c>
      <c r="AM238" s="22">
        <f>(1/(2*LOG(3.7*($I238-0.008)/'Calculation Constants'!$B$5*1000)))^2</f>
        <v>1.4709705891825043E-2</v>
      </c>
      <c r="AN238" s="19">
        <f t="shared" si="104"/>
        <v>2.1543104841910781</v>
      </c>
      <c r="AO238" s="19">
        <f>IF($H238&gt;0,'Calculation Constants'!$B$9*Hydraulics!$K238^2/2/9.81/MAX($F$4:$F$253)*$H238,"")</f>
        <v>7.8734226558858159E-2</v>
      </c>
      <c r="AP238" s="19">
        <f t="shared" si="105"/>
        <v>2.2330447107499363</v>
      </c>
      <c r="AQ238" s="19">
        <f t="shared" si="95"/>
        <v>0</v>
      </c>
      <c r="AR238" s="19">
        <f t="shared" si="106"/>
        <v>94.007341433056922</v>
      </c>
      <c r="AS238" s="23">
        <f t="shared" si="96"/>
        <v>989.65834143305688</v>
      </c>
    </row>
    <row r="239" spans="5:45">
      <c r="E239" s="35" t="str">
        <f t="shared" si="82"/>
        <v/>
      </c>
      <c r="F239" s="19">
        <f>'Profile data'!A239</f>
        <v>472</v>
      </c>
      <c r="G239" s="19">
        <f>VLOOKUP(F239,'Profile data'!A239:C498,IF($B$22="Botswana 1",2,3))</f>
        <v>892.30399999999997</v>
      </c>
      <c r="H239" s="19">
        <f t="shared" si="107"/>
        <v>2</v>
      </c>
      <c r="I239" s="19">
        <v>1.8</v>
      </c>
      <c r="J239" s="36">
        <f>'Flow Rate Calculations'!$B$7</f>
        <v>4.0831050228310497</v>
      </c>
      <c r="K239" s="36">
        <f t="shared" si="97"/>
        <v>1.6045588828318709</v>
      </c>
      <c r="L239" s="37">
        <f>$I239*$K239/'Calculation Constants'!$B$7</f>
        <v>2555934.503625989</v>
      </c>
      <c r="M239" s="37" t="str">
        <f t="shared" si="83"/>
        <v>Greater Dynamic Pressures</v>
      </c>
      <c r="N239" s="23">
        <f t="shared" si="98"/>
        <v>171.89278765751544</v>
      </c>
      <c r="O239" s="55">
        <f t="shared" si="84"/>
        <v>158.1824675357351</v>
      </c>
      <c r="P239" s="64">
        <f>MAX(I239*1000/'Calculation Constants'!$B$14,O239*10*I239*1000/2/('Calculation Constants'!$B$12*1000*'Calculation Constants'!$B$13))</f>
        <v>11.25</v>
      </c>
      <c r="Q239" s="66">
        <f t="shared" si="85"/>
        <v>992548.40161508287</v>
      </c>
      <c r="R239" s="27">
        <f>(1/(2*LOG(3.7*$I239/'Calculation Constants'!$B$2*1000)))^2</f>
        <v>8.7463077071963571E-3</v>
      </c>
      <c r="S239" s="19">
        <f t="shared" si="99"/>
        <v>1.2752477269849725</v>
      </c>
      <c r="T239" s="19">
        <f>IF($H239&gt;0,'Calculation Constants'!$B$9*Hydraulics!$K239^2/2/9.81/MAX($F$4:$F$253)*$H239,"")</f>
        <v>7.8734226558858159E-2</v>
      </c>
      <c r="U239" s="19">
        <f t="shared" si="100"/>
        <v>1.3539819535438307</v>
      </c>
      <c r="V239" s="19">
        <f t="shared" si="86"/>
        <v>0</v>
      </c>
      <c r="W239" s="19">
        <f t="shared" si="87"/>
        <v>171.89278765751544</v>
      </c>
      <c r="X239" s="23">
        <f t="shared" si="88"/>
        <v>1064.1967876575154</v>
      </c>
      <c r="Y239" s="22">
        <f>(1/(2*LOG(3.7*$I239/'Calculation Constants'!$B$3*1000)))^2</f>
        <v>9.8211436332891755E-3</v>
      </c>
      <c r="Z239" s="19">
        <f t="shared" si="89"/>
        <v>1.431963236834217</v>
      </c>
      <c r="AA239" s="19">
        <f>IF($H239&gt;0,'Calculation Constants'!$B$9*Hydraulics!$K239^2/2/9.81/MAX($F$4:$F$253)*$H239,"")</f>
        <v>7.8734226558858159E-2</v>
      </c>
      <c r="AB239" s="19">
        <f t="shared" si="108"/>
        <v>1.5106974633930752</v>
      </c>
      <c r="AC239" s="19">
        <f t="shared" si="90"/>
        <v>0</v>
      </c>
      <c r="AD239" s="19">
        <f t="shared" si="101"/>
        <v>158.1824675357351</v>
      </c>
      <c r="AE239" s="23">
        <f t="shared" si="91"/>
        <v>1050.4864675357351</v>
      </c>
      <c r="AF239" s="27">
        <f>(1/(2*LOG(3.7*$I239/'Calculation Constants'!$B$4*1000)))^2</f>
        <v>1.1575055557914658E-2</v>
      </c>
      <c r="AG239" s="19">
        <f t="shared" si="92"/>
        <v>1.6876908272744866</v>
      </c>
      <c r="AH239" s="19">
        <f>IF($H239&gt;0,'Calculation Constants'!$B$9*Hydraulics!$K239^2/2/9.81/MAX($F$4:$F$253)*$H239,"")</f>
        <v>7.8734226558858159E-2</v>
      </c>
      <c r="AI239" s="19">
        <f t="shared" si="102"/>
        <v>1.7664250538333448</v>
      </c>
      <c r="AJ239" s="19">
        <f t="shared" si="93"/>
        <v>0</v>
      </c>
      <c r="AK239" s="19">
        <f t="shared" si="103"/>
        <v>135.82716387457651</v>
      </c>
      <c r="AL239" s="23">
        <f t="shared" si="94"/>
        <v>1028.1311638745765</v>
      </c>
      <c r="AM239" s="22">
        <f>(1/(2*LOG(3.7*($I239-0.008)/'Calculation Constants'!$B$5*1000)))^2</f>
        <v>1.4709705891825043E-2</v>
      </c>
      <c r="AN239" s="19">
        <f t="shared" si="104"/>
        <v>2.1543104841910781</v>
      </c>
      <c r="AO239" s="19">
        <f>IF($H239&gt;0,'Calculation Constants'!$B$9*Hydraulics!$K239^2/2/9.81/MAX($F$4:$F$253)*$H239,"")</f>
        <v>7.8734226558858159E-2</v>
      </c>
      <c r="AP239" s="19">
        <f t="shared" si="105"/>
        <v>2.2330447107499363</v>
      </c>
      <c r="AQ239" s="19">
        <f t="shared" si="95"/>
        <v>0</v>
      </c>
      <c r="AR239" s="19">
        <f t="shared" si="106"/>
        <v>95.121296722306965</v>
      </c>
      <c r="AS239" s="23">
        <f t="shared" si="96"/>
        <v>987.42529672230694</v>
      </c>
    </row>
    <row r="240" spans="5:45">
      <c r="E240" s="35" t="str">
        <f t="shared" si="82"/>
        <v/>
      </c>
      <c r="F240" s="19">
        <f>'Profile data'!A240</f>
        <v>474</v>
      </c>
      <c r="G240" s="19">
        <f>VLOOKUP(F240,'Profile data'!A240:C499,IF($B$22="Botswana 1",2,3))</f>
        <v>895.279</v>
      </c>
      <c r="H240" s="19">
        <f t="shared" si="107"/>
        <v>2</v>
      </c>
      <c r="I240" s="19">
        <v>1.8</v>
      </c>
      <c r="J240" s="36">
        <f>'Flow Rate Calculations'!$B$7</f>
        <v>4.0831050228310497</v>
      </c>
      <c r="K240" s="36">
        <f t="shared" si="97"/>
        <v>1.6045588828318709</v>
      </c>
      <c r="L240" s="37">
        <f>$I240*$K240/'Calculation Constants'!$B$7</f>
        <v>2555934.503625989</v>
      </c>
      <c r="M240" s="37" t="str">
        <f t="shared" si="83"/>
        <v>Greater Dynamic Pressures</v>
      </c>
      <c r="N240" s="23">
        <f t="shared" si="98"/>
        <v>167.56380570397164</v>
      </c>
      <c r="O240" s="55">
        <f t="shared" si="84"/>
        <v>153.69677007234191</v>
      </c>
      <c r="P240" s="64">
        <f>MAX(I240*1000/'Calculation Constants'!$B$14,O240*10*I240*1000/2/('Calculation Constants'!$B$12*1000*'Calculation Constants'!$B$13))</f>
        <v>11.25</v>
      </c>
      <c r="Q240" s="66">
        <f t="shared" si="85"/>
        <v>992548.40161508287</v>
      </c>
      <c r="R240" s="27">
        <f>(1/(2*LOG(3.7*$I240/'Calculation Constants'!$B$2*1000)))^2</f>
        <v>8.7463077071963571E-3</v>
      </c>
      <c r="S240" s="19">
        <f t="shared" si="99"/>
        <v>1.2752477269849725</v>
      </c>
      <c r="T240" s="19">
        <f>IF($H240&gt;0,'Calculation Constants'!$B$9*Hydraulics!$K240^2/2/9.81/MAX($F$4:$F$253)*$H240,"")</f>
        <v>7.8734226558858159E-2</v>
      </c>
      <c r="U240" s="19">
        <f t="shared" si="100"/>
        <v>1.3539819535438307</v>
      </c>
      <c r="V240" s="19">
        <f t="shared" si="86"/>
        <v>0</v>
      </c>
      <c r="W240" s="19">
        <f t="shared" si="87"/>
        <v>167.56380570397164</v>
      </c>
      <c r="X240" s="23">
        <f t="shared" si="88"/>
        <v>1062.8428057039716</v>
      </c>
      <c r="Y240" s="22">
        <f>(1/(2*LOG(3.7*$I240/'Calculation Constants'!$B$3*1000)))^2</f>
        <v>9.8211436332891755E-3</v>
      </c>
      <c r="Z240" s="19">
        <f t="shared" si="89"/>
        <v>1.431963236834217</v>
      </c>
      <c r="AA240" s="19">
        <f>IF($H240&gt;0,'Calculation Constants'!$B$9*Hydraulics!$K240^2/2/9.81/MAX($F$4:$F$253)*$H240,"")</f>
        <v>7.8734226558858159E-2</v>
      </c>
      <c r="AB240" s="19">
        <f t="shared" si="108"/>
        <v>1.5106974633930752</v>
      </c>
      <c r="AC240" s="19">
        <f t="shared" si="90"/>
        <v>0</v>
      </c>
      <c r="AD240" s="19">
        <f t="shared" si="101"/>
        <v>153.69677007234191</v>
      </c>
      <c r="AE240" s="23">
        <f t="shared" si="91"/>
        <v>1048.9757700723419</v>
      </c>
      <c r="AF240" s="27">
        <f>(1/(2*LOG(3.7*$I240/'Calculation Constants'!$B$4*1000)))^2</f>
        <v>1.1575055557914658E-2</v>
      </c>
      <c r="AG240" s="19">
        <f t="shared" si="92"/>
        <v>1.6876908272744866</v>
      </c>
      <c r="AH240" s="19">
        <f>IF($H240&gt;0,'Calculation Constants'!$B$9*Hydraulics!$K240^2/2/9.81/MAX($F$4:$F$253)*$H240,"")</f>
        <v>7.8734226558858159E-2</v>
      </c>
      <c r="AI240" s="19">
        <f t="shared" si="102"/>
        <v>1.7664250538333448</v>
      </c>
      <c r="AJ240" s="19">
        <f t="shared" si="93"/>
        <v>0</v>
      </c>
      <c r="AK240" s="19">
        <f t="shared" si="103"/>
        <v>131.08573882074325</v>
      </c>
      <c r="AL240" s="23">
        <f t="shared" si="94"/>
        <v>1026.3647388207432</v>
      </c>
      <c r="AM240" s="22">
        <f>(1/(2*LOG(3.7*($I240-0.008)/'Calculation Constants'!$B$5*1000)))^2</f>
        <v>1.4709705891825043E-2</v>
      </c>
      <c r="AN240" s="19">
        <f t="shared" si="104"/>
        <v>2.1543104841910781</v>
      </c>
      <c r="AO240" s="19">
        <f>IF($H240&gt;0,'Calculation Constants'!$B$9*Hydraulics!$K240^2/2/9.81/MAX($F$4:$F$253)*$H240,"")</f>
        <v>7.8734226558858159E-2</v>
      </c>
      <c r="AP240" s="19">
        <f t="shared" si="105"/>
        <v>2.2330447107499363</v>
      </c>
      <c r="AQ240" s="19">
        <f t="shared" si="95"/>
        <v>0</v>
      </c>
      <c r="AR240" s="19">
        <f t="shared" si="106"/>
        <v>89.913252011557006</v>
      </c>
      <c r="AS240" s="23">
        <f t="shared" si="96"/>
        <v>985.192252011557</v>
      </c>
    </row>
    <row r="241" spans="5:45">
      <c r="E241" s="35" t="str">
        <f t="shared" si="82"/>
        <v/>
      </c>
      <c r="F241" s="19">
        <f>'Profile data'!A241</f>
        <v>476</v>
      </c>
      <c r="G241" s="19">
        <f>VLOOKUP(F241,'Profile data'!A241:C500,IF($B$22="Botswana 1",2,3))</f>
        <v>896.81799999999998</v>
      </c>
      <c r="H241" s="19">
        <f t="shared" si="107"/>
        <v>2</v>
      </c>
      <c r="I241" s="19">
        <v>1.8</v>
      </c>
      <c r="J241" s="36">
        <f>'Flow Rate Calculations'!$B$7</f>
        <v>4.0831050228310497</v>
      </c>
      <c r="K241" s="36">
        <f t="shared" si="97"/>
        <v>1.6045588828318709</v>
      </c>
      <c r="L241" s="37">
        <f>$I241*$K241/'Calculation Constants'!$B$7</f>
        <v>2555934.503625989</v>
      </c>
      <c r="M241" s="37" t="str">
        <f t="shared" si="83"/>
        <v>Greater Dynamic Pressures</v>
      </c>
      <c r="N241" s="23">
        <f t="shared" si="98"/>
        <v>164.67082375042787</v>
      </c>
      <c r="O241" s="55">
        <f t="shared" si="84"/>
        <v>150.64707260894875</v>
      </c>
      <c r="P241" s="64">
        <f>MAX(I241*1000/'Calculation Constants'!$B$14,O241*10*I241*1000/2/('Calculation Constants'!$B$12*1000*'Calculation Constants'!$B$13))</f>
        <v>11.25</v>
      </c>
      <c r="Q241" s="66">
        <f t="shared" si="85"/>
        <v>992548.40161508287</v>
      </c>
      <c r="R241" s="27">
        <f>(1/(2*LOG(3.7*$I241/'Calculation Constants'!$B$2*1000)))^2</f>
        <v>8.7463077071963571E-3</v>
      </c>
      <c r="S241" s="19">
        <f t="shared" si="99"/>
        <v>1.2752477269849725</v>
      </c>
      <c r="T241" s="19">
        <f>IF($H241&gt;0,'Calculation Constants'!$B$9*Hydraulics!$K241^2/2/9.81/MAX($F$4:$F$253)*$H241,"")</f>
        <v>7.8734226558858159E-2</v>
      </c>
      <c r="U241" s="19">
        <f t="shared" si="100"/>
        <v>1.3539819535438307</v>
      </c>
      <c r="V241" s="19">
        <f t="shared" si="86"/>
        <v>0</v>
      </c>
      <c r="W241" s="19">
        <f t="shared" si="87"/>
        <v>164.67082375042787</v>
      </c>
      <c r="X241" s="23">
        <f t="shared" si="88"/>
        <v>1061.4888237504279</v>
      </c>
      <c r="Y241" s="22">
        <f>(1/(2*LOG(3.7*$I241/'Calculation Constants'!$B$3*1000)))^2</f>
        <v>9.8211436332891755E-3</v>
      </c>
      <c r="Z241" s="19">
        <f t="shared" si="89"/>
        <v>1.431963236834217</v>
      </c>
      <c r="AA241" s="19">
        <f>IF($H241&gt;0,'Calculation Constants'!$B$9*Hydraulics!$K241^2/2/9.81/MAX($F$4:$F$253)*$H241,"")</f>
        <v>7.8734226558858159E-2</v>
      </c>
      <c r="AB241" s="19">
        <f t="shared" si="108"/>
        <v>1.5106974633930752</v>
      </c>
      <c r="AC241" s="19">
        <f t="shared" si="90"/>
        <v>0</v>
      </c>
      <c r="AD241" s="19">
        <f t="shared" si="101"/>
        <v>150.64707260894875</v>
      </c>
      <c r="AE241" s="23">
        <f t="shared" si="91"/>
        <v>1047.4650726089487</v>
      </c>
      <c r="AF241" s="27">
        <f>(1/(2*LOG(3.7*$I241/'Calculation Constants'!$B$4*1000)))^2</f>
        <v>1.1575055557914658E-2</v>
      </c>
      <c r="AG241" s="19">
        <f t="shared" si="92"/>
        <v>1.6876908272744866</v>
      </c>
      <c r="AH241" s="19">
        <f>IF($H241&gt;0,'Calculation Constants'!$B$9*Hydraulics!$K241^2/2/9.81/MAX($F$4:$F$253)*$H241,"")</f>
        <v>7.8734226558858159E-2</v>
      </c>
      <c r="AI241" s="19">
        <f t="shared" si="102"/>
        <v>1.7664250538333448</v>
      </c>
      <c r="AJ241" s="19">
        <f t="shared" si="93"/>
        <v>0</v>
      </c>
      <c r="AK241" s="19">
        <f t="shared" si="103"/>
        <v>127.78031376691001</v>
      </c>
      <c r="AL241" s="23">
        <f t="shared" si="94"/>
        <v>1024.59831376691</v>
      </c>
      <c r="AM241" s="22">
        <f>(1/(2*LOG(3.7*($I241-0.008)/'Calculation Constants'!$B$5*1000)))^2</f>
        <v>1.4709705891825043E-2</v>
      </c>
      <c r="AN241" s="19">
        <f t="shared" si="104"/>
        <v>2.1543104841910781</v>
      </c>
      <c r="AO241" s="19">
        <f>IF($H241&gt;0,'Calculation Constants'!$B$9*Hydraulics!$K241^2/2/9.81/MAX($F$4:$F$253)*$H241,"")</f>
        <v>7.8734226558858159E-2</v>
      </c>
      <c r="AP241" s="19">
        <f t="shared" si="105"/>
        <v>2.2330447107499363</v>
      </c>
      <c r="AQ241" s="19">
        <f t="shared" si="95"/>
        <v>0</v>
      </c>
      <c r="AR241" s="19">
        <f t="shared" si="106"/>
        <v>86.141207300807082</v>
      </c>
      <c r="AS241" s="23">
        <f t="shared" si="96"/>
        <v>982.95920730080707</v>
      </c>
    </row>
    <row r="242" spans="5:45">
      <c r="E242" s="35" t="str">
        <f t="shared" si="82"/>
        <v/>
      </c>
      <c r="F242" s="19">
        <f>'Profile data'!A242</f>
        <v>478</v>
      </c>
      <c r="G242" s="19">
        <f>VLOOKUP(F242,'Profile data'!A242:C501,IF($B$22="Botswana 1",2,3))</f>
        <v>909.92100000000005</v>
      </c>
      <c r="H242" s="19">
        <f t="shared" si="107"/>
        <v>2</v>
      </c>
      <c r="I242" s="19">
        <v>1.5</v>
      </c>
      <c r="J242" s="36">
        <f>'Flow Rate Calculations'!$B$7</f>
        <v>4.0831050228310497</v>
      </c>
      <c r="K242" s="36">
        <f t="shared" si="97"/>
        <v>2.3105647912778942</v>
      </c>
      <c r="L242" s="37">
        <f>$I242*$K242/'Calculation Constants'!$B$7</f>
        <v>3067121.4043511869</v>
      </c>
      <c r="M242" s="37" t="str">
        <f t="shared" si="83"/>
        <v>Greater Dynamic Pressures</v>
      </c>
      <c r="N242" s="23">
        <f t="shared" si="98"/>
        <v>148.13521292747646</v>
      </c>
      <c r="O242" s="55">
        <f t="shared" si="84"/>
        <v>133.70309640484561</v>
      </c>
      <c r="P242" s="64">
        <f>MAX(I242*1000/'Calculation Constants'!$B$14,O242*10*I242*1000/2/('Calculation Constants'!$B$12*1000*'Calculation Constants'!$B$13))</f>
        <v>9.375</v>
      </c>
      <c r="Q242" s="66">
        <f t="shared" si="85"/>
        <v>689269.72334380972</v>
      </c>
      <c r="R242" s="27">
        <f>(1/(2*LOG(3.7*$I242/'Calculation Constants'!$B$2*1000)))^2</f>
        <v>9.0112502883211744E-3</v>
      </c>
      <c r="S242" s="19">
        <f t="shared" si="99"/>
        <v>3.2693475307588078</v>
      </c>
      <c r="T242" s="19">
        <f>IF($H242&gt;0,'Calculation Constants'!$B$9*Hydraulics!$K242^2/2/9.81/MAX($F$4:$F$253)*$H242,"")</f>
        <v>0.16326329219244826</v>
      </c>
      <c r="U242" s="19">
        <f t="shared" si="100"/>
        <v>3.432610822951256</v>
      </c>
      <c r="V242" s="19">
        <f t="shared" si="86"/>
        <v>0</v>
      </c>
      <c r="W242" s="19">
        <f t="shared" si="87"/>
        <v>148.13521292747646</v>
      </c>
      <c r="X242" s="23">
        <f t="shared" si="88"/>
        <v>1058.0562129274765</v>
      </c>
      <c r="Y242" s="22">
        <f>(1/(2*LOG(3.7*$I242/'Calculation Constants'!$B$3*1000)))^2</f>
        <v>1.0136821254400123E-2</v>
      </c>
      <c r="Z242" s="19">
        <f t="shared" si="89"/>
        <v>3.6777129119105498</v>
      </c>
      <c r="AA242" s="19">
        <f>IF($H242&gt;0,'Calculation Constants'!$B$9*Hydraulics!$K242^2/2/9.81/MAX($F$4:$F$253)*$H242,"")</f>
        <v>0.16326329219244826</v>
      </c>
      <c r="AB242" s="19">
        <f t="shared" si="108"/>
        <v>3.840976204102998</v>
      </c>
      <c r="AC242" s="19">
        <f t="shared" si="90"/>
        <v>0</v>
      </c>
      <c r="AD242" s="19">
        <f t="shared" si="101"/>
        <v>133.70309640484561</v>
      </c>
      <c r="AE242" s="23">
        <f t="shared" si="91"/>
        <v>1043.6240964048457</v>
      </c>
      <c r="AF242" s="27">
        <f>(1/(2*LOG(3.7*$I242/'Calculation Constants'!$B$4*1000)))^2</f>
        <v>1.1979797083255311E-2</v>
      </c>
      <c r="AG242" s="19">
        <f t="shared" si="92"/>
        <v>4.3463580257994474</v>
      </c>
      <c r="AH242" s="19">
        <f>IF($H242&gt;0,'Calculation Constants'!$B$9*Hydraulics!$K242^2/2/9.81/MAX($F$4:$F$253)*$H242,"")</f>
        <v>0.16326329219244826</v>
      </c>
      <c r="AI242" s="19">
        <f t="shared" si="102"/>
        <v>4.509621317991896</v>
      </c>
      <c r="AJ242" s="19">
        <f t="shared" si="93"/>
        <v>0</v>
      </c>
      <c r="AK242" s="19">
        <f t="shared" si="103"/>
        <v>110.16769244891805</v>
      </c>
      <c r="AL242" s="23">
        <f t="shared" si="94"/>
        <v>1020.0886924489181</v>
      </c>
      <c r="AM242" s="22">
        <f>(1/(2*LOG(3.7*($I242-0.008)/'Calculation Constants'!$B$5*1000)))^2</f>
        <v>1.5294398771411635E-2</v>
      </c>
      <c r="AN242" s="19">
        <f t="shared" si="104"/>
        <v>5.5786726888400349</v>
      </c>
      <c r="AO242" s="19">
        <f>IF($H242&gt;0,'Calculation Constants'!$B$9*Hydraulics!$K242^2/2/9.81/MAX($F$4:$F$253)*$H242,"")</f>
        <v>0.16326329219244826</v>
      </c>
      <c r="AP242" s="19">
        <f t="shared" si="105"/>
        <v>5.7419359810324835</v>
      </c>
      <c r="AQ242" s="19">
        <f t="shared" si="95"/>
        <v>0</v>
      </c>
      <c r="AR242" s="19">
        <f t="shared" si="106"/>
        <v>67.296271319774519</v>
      </c>
      <c r="AS242" s="23">
        <f t="shared" si="96"/>
        <v>977.21727131977457</v>
      </c>
    </row>
    <row r="243" spans="5:45">
      <c r="E243" s="35" t="str">
        <f t="shared" si="82"/>
        <v/>
      </c>
      <c r="F243" s="19">
        <f>'Profile data'!A243</f>
        <v>480</v>
      </c>
      <c r="G243" s="19">
        <f>VLOOKUP(F243,'Profile data'!A243:C502,IF($B$22="Botswana 1",2,3))</f>
        <v>926.29499999999996</v>
      </c>
      <c r="H243" s="19">
        <f t="shared" si="107"/>
        <v>2</v>
      </c>
      <c r="I243" s="19">
        <v>1.5</v>
      </c>
      <c r="J243" s="36">
        <f>'Flow Rate Calculations'!$B$7</f>
        <v>4.0831050228310497</v>
      </c>
      <c r="K243" s="36">
        <f t="shared" si="97"/>
        <v>2.3105647912778942</v>
      </c>
      <c r="L243" s="37">
        <f>$I243*$K243/'Calculation Constants'!$B$7</f>
        <v>3067121.4043511869</v>
      </c>
      <c r="M243" s="37" t="str">
        <f t="shared" si="83"/>
        <v>Greater Dynamic Pressures</v>
      </c>
      <c r="N243" s="23">
        <f t="shared" si="98"/>
        <v>128.3286021045252</v>
      </c>
      <c r="O243" s="55">
        <f t="shared" si="84"/>
        <v>113.48812020074263</v>
      </c>
      <c r="P243" s="64">
        <f>MAX(I243*1000/'Calculation Constants'!$B$14,O243*10*I243*1000/2/('Calculation Constants'!$B$12*1000*'Calculation Constants'!$B$13))</f>
        <v>9.375</v>
      </c>
      <c r="Q243" s="66">
        <f t="shared" si="85"/>
        <v>689269.72334380972</v>
      </c>
      <c r="R243" s="27">
        <f>(1/(2*LOG(3.7*$I243/'Calculation Constants'!$B$2*1000)))^2</f>
        <v>9.0112502883211744E-3</v>
      </c>
      <c r="S243" s="19">
        <f t="shared" si="99"/>
        <v>3.2693475307588078</v>
      </c>
      <c r="T243" s="19">
        <f>IF($H243&gt;0,'Calculation Constants'!$B$9*Hydraulics!$K243^2/2/9.81/MAX($F$4:$F$253)*$H243,"")</f>
        <v>0.16326329219244826</v>
      </c>
      <c r="U243" s="19">
        <f t="shared" si="100"/>
        <v>3.432610822951256</v>
      </c>
      <c r="V243" s="19">
        <f t="shared" si="86"/>
        <v>0</v>
      </c>
      <c r="W243" s="19">
        <f t="shared" si="87"/>
        <v>128.3286021045252</v>
      </c>
      <c r="X243" s="23">
        <f t="shared" si="88"/>
        <v>1054.6236021045252</v>
      </c>
      <c r="Y243" s="22">
        <f>(1/(2*LOG(3.7*$I243/'Calculation Constants'!$B$3*1000)))^2</f>
        <v>1.0136821254400123E-2</v>
      </c>
      <c r="Z243" s="19">
        <f t="shared" si="89"/>
        <v>3.6777129119105498</v>
      </c>
      <c r="AA243" s="19">
        <f>IF($H243&gt;0,'Calculation Constants'!$B$9*Hydraulics!$K243^2/2/9.81/MAX($F$4:$F$253)*$H243,"")</f>
        <v>0.16326329219244826</v>
      </c>
      <c r="AB243" s="19">
        <f t="shared" si="108"/>
        <v>3.840976204102998</v>
      </c>
      <c r="AC243" s="19">
        <f t="shared" si="90"/>
        <v>0</v>
      </c>
      <c r="AD243" s="19">
        <f t="shared" si="101"/>
        <v>113.48812020074263</v>
      </c>
      <c r="AE243" s="23">
        <f t="shared" si="91"/>
        <v>1039.7831202007426</v>
      </c>
      <c r="AF243" s="27">
        <f>(1/(2*LOG(3.7*$I243/'Calculation Constants'!$B$4*1000)))^2</f>
        <v>1.1979797083255311E-2</v>
      </c>
      <c r="AG243" s="19">
        <f t="shared" si="92"/>
        <v>4.3463580257994474</v>
      </c>
      <c r="AH243" s="19">
        <f>IF($H243&gt;0,'Calculation Constants'!$B$9*Hydraulics!$K243^2/2/9.81/MAX($F$4:$F$253)*$H243,"")</f>
        <v>0.16326329219244826</v>
      </c>
      <c r="AI243" s="19">
        <f t="shared" si="102"/>
        <v>4.509621317991896</v>
      </c>
      <c r="AJ243" s="19">
        <f t="shared" si="93"/>
        <v>0</v>
      </c>
      <c r="AK243" s="19">
        <f t="shared" si="103"/>
        <v>89.284071130926236</v>
      </c>
      <c r="AL243" s="23">
        <f t="shared" si="94"/>
        <v>1015.5790711309262</v>
      </c>
      <c r="AM243" s="22">
        <f>(1/(2*LOG(3.7*($I243-0.008)/'Calculation Constants'!$B$5*1000)))^2</f>
        <v>1.5294398771411635E-2</v>
      </c>
      <c r="AN243" s="19">
        <f t="shared" si="104"/>
        <v>5.5786726888400349</v>
      </c>
      <c r="AO243" s="19">
        <f>IF($H243&gt;0,'Calculation Constants'!$B$9*Hydraulics!$K243^2/2/9.81/MAX($F$4:$F$253)*$H243,"")</f>
        <v>0.16326329219244826</v>
      </c>
      <c r="AP243" s="19">
        <f t="shared" si="105"/>
        <v>5.7419359810324835</v>
      </c>
      <c r="AQ243" s="19">
        <f t="shared" si="95"/>
        <v>0</v>
      </c>
      <c r="AR243" s="19">
        <f t="shared" si="106"/>
        <v>45.180335338742111</v>
      </c>
      <c r="AS243" s="23">
        <f t="shared" si="96"/>
        <v>971.47533533874207</v>
      </c>
    </row>
    <row r="244" spans="5:45">
      <c r="E244" s="35" t="str">
        <f t="shared" si="82"/>
        <v/>
      </c>
      <c r="F244" s="19">
        <f>'Profile data'!A244</f>
        <v>482</v>
      </c>
      <c r="G244" s="19">
        <f>VLOOKUP(F244,'Profile data'!A244:C503,IF($B$22="Botswana 1",2,3))</f>
        <v>924.88800000000003</v>
      </c>
      <c r="H244" s="19">
        <f t="shared" si="107"/>
        <v>2</v>
      </c>
      <c r="I244" s="19">
        <v>1.5</v>
      </c>
      <c r="J244" s="36">
        <f>'Flow Rate Calculations'!$B$7</f>
        <v>4.0831050228310497</v>
      </c>
      <c r="K244" s="36">
        <f t="shared" si="97"/>
        <v>2.3105647912778942</v>
      </c>
      <c r="L244" s="37">
        <f>$I244*$K244/'Calculation Constants'!$B$7</f>
        <v>3067121.4043511869</v>
      </c>
      <c r="M244" s="37" t="str">
        <f t="shared" si="83"/>
        <v>Greater Dynamic Pressures</v>
      </c>
      <c r="N244" s="23">
        <f t="shared" si="98"/>
        <v>126.30299128157378</v>
      </c>
      <c r="O244" s="55">
        <f t="shared" si="84"/>
        <v>111.05414399663948</v>
      </c>
      <c r="P244" s="64">
        <f>MAX(I244*1000/'Calculation Constants'!$B$14,O244*10*I244*1000/2/('Calculation Constants'!$B$12*1000*'Calculation Constants'!$B$13))</f>
        <v>9.375</v>
      </c>
      <c r="Q244" s="66">
        <f t="shared" si="85"/>
        <v>689269.72334380972</v>
      </c>
      <c r="R244" s="27">
        <f>(1/(2*LOG(3.7*$I244/'Calculation Constants'!$B$2*1000)))^2</f>
        <v>9.0112502883211744E-3</v>
      </c>
      <c r="S244" s="19">
        <f t="shared" si="99"/>
        <v>3.2693475307588078</v>
      </c>
      <c r="T244" s="19">
        <f>IF($H244&gt;0,'Calculation Constants'!$B$9*Hydraulics!$K244^2/2/9.81/MAX($F$4:$F$253)*$H244,"")</f>
        <v>0.16326329219244826</v>
      </c>
      <c r="U244" s="19">
        <f t="shared" si="100"/>
        <v>3.432610822951256</v>
      </c>
      <c r="V244" s="19">
        <f t="shared" si="86"/>
        <v>0</v>
      </c>
      <c r="W244" s="19">
        <f t="shared" si="87"/>
        <v>126.30299128157378</v>
      </c>
      <c r="X244" s="23">
        <f t="shared" si="88"/>
        <v>1051.1909912815738</v>
      </c>
      <c r="Y244" s="22">
        <f>(1/(2*LOG(3.7*$I244/'Calculation Constants'!$B$3*1000)))^2</f>
        <v>1.0136821254400123E-2</v>
      </c>
      <c r="Z244" s="19">
        <f t="shared" si="89"/>
        <v>3.6777129119105498</v>
      </c>
      <c r="AA244" s="19">
        <f>IF($H244&gt;0,'Calculation Constants'!$B$9*Hydraulics!$K244^2/2/9.81/MAX($F$4:$F$253)*$H244,"")</f>
        <v>0.16326329219244826</v>
      </c>
      <c r="AB244" s="19">
        <f t="shared" si="108"/>
        <v>3.840976204102998</v>
      </c>
      <c r="AC244" s="19">
        <f t="shared" si="90"/>
        <v>0</v>
      </c>
      <c r="AD244" s="19">
        <f t="shared" si="101"/>
        <v>111.05414399663948</v>
      </c>
      <c r="AE244" s="23">
        <f t="shared" si="91"/>
        <v>1035.9421439966395</v>
      </c>
      <c r="AF244" s="27">
        <f>(1/(2*LOG(3.7*$I244/'Calculation Constants'!$B$4*1000)))^2</f>
        <v>1.1979797083255311E-2</v>
      </c>
      <c r="AG244" s="19">
        <f t="shared" si="92"/>
        <v>4.3463580257994474</v>
      </c>
      <c r="AH244" s="19">
        <f>IF($H244&gt;0,'Calculation Constants'!$B$9*Hydraulics!$K244^2/2/9.81/MAX($F$4:$F$253)*$H244,"")</f>
        <v>0.16326329219244826</v>
      </c>
      <c r="AI244" s="19">
        <f t="shared" si="102"/>
        <v>4.509621317991896</v>
      </c>
      <c r="AJ244" s="19">
        <f t="shared" si="93"/>
        <v>0</v>
      </c>
      <c r="AK244" s="19">
        <f t="shared" si="103"/>
        <v>86.181449812934261</v>
      </c>
      <c r="AL244" s="23">
        <f t="shared" si="94"/>
        <v>1011.0694498129343</v>
      </c>
      <c r="AM244" s="22">
        <f>(1/(2*LOG(3.7*($I244-0.008)/'Calculation Constants'!$B$5*1000)))^2</f>
        <v>1.5294398771411635E-2</v>
      </c>
      <c r="AN244" s="19">
        <f t="shared" si="104"/>
        <v>5.5786726888400349</v>
      </c>
      <c r="AO244" s="19">
        <f>IF($H244&gt;0,'Calculation Constants'!$B$9*Hydraulics!$K244^2/2/9.81/MAX($F$4:$F$253)*$H244,"")</f>
        <v>0.16326329219244826</v>
      </c>
      <c r="AP244" s="19">
        <f t="shared" si="105"/>
        <v>5.7419359810324835</v>
      </c>
      <c r="AQ244" s="19">
        <f t="shared" si="95"/>
        <v>0</v>
      </c>
      <c r="AR244" s="19">
        <f t="shared" si="106"/>
        <v>40.845399357709539</v>
      </c>
      <c r="AS244" s="23">
        <f t="shared" si="96"/>
        <v>965.73339935770957</v>
      </c>
    </row>
    <row r="245" spans="5:45">
      <c r="E245" s="35" t="str">
        <f t="shared" si="82"/>
        <v/>
      </c>
      <c r="F245" s="19">
        <f>'Profile data'!A245</f>
        <v>484</v>
      </c>
      <c r="G245" s="19">
        <f>VLOOKUP(F245,'Profile data'!A245:C504,IF($B$22="Botswana 1",2,3))</f>
        <v>919.04399999999998</v>
      </c>
      <c r="H245" s="19">
        <f t="shared" si="107"/>
        <v>2</v>
      </c>
      <c r="I245" s="19">
        <v>1.5</v>
      </c>
      <c r="J245" s="36">
        <f>'Flow Rate Calculations'!$B$7</f>
        <v>4.0831050228310497</v>
      </c>
      <c r="K245" s="36">
        <f t="shared" si="97"/>
        <v>2.3105647912778942</v>
      </c>
      <c r="L245" s="37">
        <f>$I245*$K245/'Calculation Constants'!$B$7</f>
        <v>3067121.4043511869</v>
      </c>
      <c r="M245" s="37" t="str">
        <f t="shared" si="83"/>
        <v>Greater Dynamic Pressures</v>
      </c>
      <c r="N245" s="23">
        <f t="shared" si="98"/>
        <v>128.71438045862249</v>
      </c>
      <c r="O245" s="55">
        <f t="shared" si="84"/>
        <v>113.05716779253646</v>
      </c>
      <c r="P245" s="64">
        <f>MAX(I245*1000/'Calculation Constants'!$B$14,O245*10*I245*1000/2/('Calculation Constants'!$B$12*1000*'Calculation Constants'!$B$13))</f>
        <v>9.375</v>
      </c>
      <c r="Q245" s="66">
        <f t="shared" si="85"/>
        <v>689269.72334380972</v>
      </c>
      <c r="R245" s="27">
        <f>(1/(2*LOG(3.7*$I245/'Calculation Constants'!$B$2*1000)))^2</f>
        <v>9.0112502883211744E-3</v>
      </c>
      <c r="S245" s="19">
        <f t="shared" si="99"/>
        <v>3.2693475307588078</v>
      </c>
      <c r="T245" s="19">
        <f>IF($H245&gt;0,'Calculation Constants'!$B$9*Hydraulics!$K245^2/2/9.81/MAX($F$4:$F$253)*$H245,"")</f>
        <v>0.16326329219244826</v>
      </c>
      <c r="U245" s="19">
        <f t="shared" si="100"/>
        <v>3.432610822951256</v>
      </c>
      <c r="V245" s="19">
        <f t="shared" si="86"/>
        <v>0</v>
      </c>
      <c r="W245" s="19">
        <f t="shared" si="87"/>
        <v>128.71438045862249</v>
      </c>
      <c r="X245" s="23">
        <f t="shared" si="88"/>
        <v>1047.7583804586225</v>
      </c>
      <c r="Y245" s="22">
        <f>(1/(2*LOG(3.7*$I245/'Calculation Constants'!$B$3*1000)))^2</f>
        <v>1.0136821254400123E-2</v>
      </c>
      <c r="Z245" s="19">
        <f t="shared" si="89"/>
        <v>3.6777129119105498</v>
      </c>
      <c r="AA245" s="19">
        <f>IF($H245&gt;0,'Calculation Constants'!$B$9*Hydraulics!$K245^2/2/9.81/MAX($F$4:$F$253)*$H245,"")</f>
        <v>0.16326329219244826</v>
      </c>
      <c r="AB245" s="19">
        <f t="shared" si="108"/>
        <v>3.840976204102998</v>
      </c>
      <c r="AC245" s="19">
        <f t="shared" si="90"/>
        <v>0</v>
      </c>
      <c r="AD245" s="19">
        <f t="shared" si="101"/>
        <v>113.05716779253646</v>
      </c>
      <c r="AE245" s="23">
        <f t="shared" si="91"/>
        <v>1032.1011677925364</v>
      </c>
      <c r="AF245" s="27">
        <f>(1/(2*LOG(3.7*$I245/'Calculation Constants'!$B$4*1000)))^2</f>
        <v>1.1979797083255311E-2</v>
      </c>
      <c r="AG245" s="19">
        <f t="shared" si="92"/>
        <v>4.3463580257994474</v>
      </c>
      <c r="AH245" s="19">
        <f>IF($H245&gt;0,'Calculation Constants'!$B$9*Hydraulics!$K245^2/2/9.81/MAX($F$4:$F$253)*$H245,"")</f>
        <v>0.16326329219244826</v>
      </c>
      <c r="AI245" s="19">
        <f t="shared" si="102"/>
        <v>4.509621317991896</v>
      </c>
      <c r="AJ245" s="19">
        <f t="shared" si="93"/>
        <v>0</v>
      </c>
      <c r="AK245" s="19">
        <f t="shared" si="103"/>
        <v>87.515828494942411</v>
      </c>
      <c r="AL245" s="23">
        <f t="shared" si="94"/>
        <v>1006.5598284949424</v>
      </c>
      <c r="AM245" s="22">
        <f>(1/(2*LOG(3.7*($I245-0.008)/'Calculation Constants'!$B$5*1000)))^2</f>
        <v>1.5294398771411635E-2</v>
      </c>
      <c r="AN245" s="19">
        <f t="shared" si="104"/>
        <v>5.5786726888400349</v>
      </c>
      <c r="AO245" s="19">
        <f>IF($H245&gt;0,'Calculation Constants'!$B$9*Hydraulics!$K245^2/2/9.81/MAX($F$4:$F$253)*$H245,"")</f>
        <v>0.16326329219244826</v>
      </c>
      <c r="AP245" s="19">
        <f t="shared" si="105"/>
        <v>5.7419359810324835</v>
      </c>
      <c r="AQ245" s="19">
        <f t="shared" si="95"/>
        <v>0</v>
      </c>
      <c r="AR245" s="19">
        <f t="shared" si="106"/>
        <v>40.947463376677092</v>
      </c>
      <c r="AS245" s="23">
        <f t="shared" si="96"/>
        <v>959.99146337667707</v>
      </c>
    </row>
    <row r="246" spans="5:45">
      <c r="E246" s="35" t="str">
        <f t="shared" si="82"/>
        <v/>
      </c>
      <c r="F246" s="19">
        <f>'Profile data'!A246</f>
        <v>486</v>
      </c>
      <c r="G246" s="19">
        <f>VLOOKUP(F246,'Profile data'!A246:C505,IF($B$22="Botswana 1",2,3))</f>
        <v>911.16399999999999</v>
      </c>
      <c r="H246" s="19">
        <f t="shared" si="107"/>
        <v>2</v>
      </c>
      <c r="I246" s="19">
        <v>1.5</v>
      </c>
      <c r="J246" s="36">
        <f>'Flow Rate Calculations'!$B$7</f>
        <v>4.0831050228310497</v>
      </c>
      <c r="K246" s="36">
        <f t="shared" si="97"/>
        <v>2.3105647912778942</v>
      </c>
      <c r="L246" s="37">
        <f>$I246*$K246/'Calculation Constants'!$B$7</f>
        <v>3067121.4043511869</v>
      </c>
      <c r="M246" s="37" t="str">
        <f t="shared" si="83"/>
        <v>Greater Dynamic Pressures</v>
      </c>
      <c r="N246" s="23">
        <f t="shared" si="98"/>
        <v>133.16176963567113</v>
      </c>
      <c r="O246" s="55">
        <f t="shared" si="84"/>
        <v>117.09619158843338</v>
      </c>
      <c r="P246" s="64">
        <f>MAX(I246*1000/'Calculation Constants'!$B$14,O246*10*I246*1000/2/('Calculation Constants'!$B$12*1000*'Calculation Constants'!$B$13))</f>
        <v>9.375</v>
      </c>
      <c r="Q246" s="66">
        <f t="shared" si="85"/>
        <v>689269.72334380972</v>
      </c>
      <c r="R246" s="27">
        <f>(1/(2*LOG(3.7*$I246/'Calculation Constants'!$B$2*1000)))^2</f>
        <v>9.0112502883211744E-3</v>
      </c>
      <c r="S246" s="19">
        <f t="shared" si="99"/>
        <v>3.2693475307588078</v>
      </c>
      <c r="T246" s="19">
        <f>IF($H246&gt;0,'Calculation Constants'!$B$9*Hydraulics!$K246^2/2/9.81/MAX($F$4:$F$253)*$H246,"")</f>
        <v>0.16326329219244826</v>
      </c>
      <c r="U246" s="19">
        <f t="shared" si="100"/>
        <v>3.432610822951256</v>
      </c>
      <c r="V246" s="19">
        <f t="shared" si="86"/>
        <v>0</v>
      </c>
      <c r="W246" s="19">
        <f t="shared" si="87"/>
        <v>133.16176963567113</v>
      </c>
      <c r="X246" s="23">
        <f t="shared" si="88"/>
        <v>1044.3257696356711</v>
      </c>
      <c r="Y246" s="22">
        <f>(1/(2*LOG(3.7*$I246/'Calculation Constants'!$B$3*1000)))^2</f>
        <v>1.0136821254400123E-2</v>
      </c>
      <c r="Z246" s="19">
        <f t="shared" si="89"/>
        <v>3.6777129119105498</v>
      </c>
      <c r="AA246" s="19">
        <f>IF($H246&gt;0,'Calculation Constants'!$B$9*Hydraulics!$K246^2/2/9.81/MAX($F$4:$F$253)*$H246,"")</f>
        <v>0.16326329219244826</v>
      </c>
      <c r="AB246" s="19">
        <f t="shared" si="108"/>
        <v>3.840976204102998</v>
      </c>
      <c r="AC246" s="19">
        <f t="shared" si="90"/>
        <v>0</v>
      </c>
      <c r="AD246" s="19">
        <f t="shared" si="101"/>
        <v>117.09619158843338</v>
      </c>
      <c r="AE246" s="23">
        <f t="shared" si="91"/>
        <v>1028.2601915884334</v>
      </c>
      <c r="AF246" s="27">
        <f>(1/(2*LOG(3.7*$I246/'Calculation Constants'!$B$4*1000)))^2</f>
        <v>1.1979797083255311E-2</v>
      </c>
      <c r="AG246" s="19">
        <f t="shared" si="92"/>
        <v>4.3463580257994474</v>
      </c>
      <c r="AH246" s="19">
        <f>IF($H246&gt;0,'Calculation Constants'!$B$9*Hydraulics!$K246^2/2/9.81/MAX($F$4:$F$253)*$H246,"")</f>
        <v>0.16326329219244826</v>
      </c>
      <c r="AI246" s="19">
        <f t="shared" si="102"/>
        <v>4.509621317991896</v>
      </c>
      <c r="AJ246" s="19">
        <f t="shared" si="93"/>
        <v>0</v>
      </c>
      <c r="AK246" s="19">
        <f t="shared" si="103"/>
        <v>90.886207176950506</v>
      </c>
      <c r="AL246" s="23">
        <f t="shared" si="94"/>
        <v>1002.0502071769505</v>
      </c>
      <c r="AM246" s="22">
        <f>(1/(2*LOG(3.7*($I246-0.008)/'Calculation Constants'!$B$5*1000)))^2</f>
        <v>1.5294398771411635E-2</v>
      </c>
      <c r="AN246" s="19">
        <f t="shared" si="104"/>
        <v>5.5786726888400349</v>
      </c>
      <c r="AO246" s="19">
        <f>IF($H246&gt;0,'Calculation Constants'!$B$9*Hydraulics!$K246^2/2/9.81/MAX($F$4:$F$253)*$H246,"")</f>
        <v>0.16326329219244826</v>
      </c>
      <c r="AP246" s="19">
        <f t="shared" si="105"/>
        <v>5.7419359810324835</v>
      </c>
      <c r="AQ246" s="19">
        <f t="shared" si="95"/>
        <v>0</v>
      </c>
      <c r="AR246" s="19">
        <f t="shared" si="106"/>
        <v>43.08552739564459</v>
      </c>
      <c r="AS246" s="23">
        <f t="shared" si="96"/>
        <v>954.24952739564458</v>
      </c>
    </row>
    <row r="247" spans="5:45">
      <c r="E247" s="35" t="str">
        <f t="shared" si="82"/>
        <v/>
      </c>
      <c r="F247" s="19">
        <f>'Profile data'!A247</f>
        <v>488</v>
      </c>
      <c r="G247" s="19">
        <f>VLOOKUP(F247,'Profile data'!A247:C506,IF($B$22="Botswana 1",2,3))</f>
        <v>903.89300000000003</v>
      </c>
      <c r="H247" s="19">
        <f t="shared" si="107"/>
        <v>2</v>
      </c>
      <c r="I247" s="19">
        <v>1.5</v>
      </c>
      <c r="J247" s="36">
        <f>'Flow Rate Calculations'!$B$7</f>
        <v>4.0831050228310497</v>
      </c>
      <c r="K247" s="36">
        <f t="shared" si="97"/>
        <v>2.3105647912778942</v>
      </c>
      <c r="L247" s="37">
        <f>$I247*$K247/'Calculation Constants'!$B$7</f>
        <v>3067121.4043511869</v>
      </c>
      <c r="M247" s="37" t="str">
        <f t="shared" si="83"/>
        <v>Greater Dynamic Pressures</v>
      </c>
      <c r="N247" s="23">
        <f t="shared" si="98"/>
        <v>137.00015881271975</v>
      </c>
      <c r="O247" s="55">
        <f t="shared" si="84"/>
        <v>120.52621538433027</v>
      </c>
      <c r="P247" s="64">
        <f>MAX(I247*1000/'Calculation Constants'!$B$14,O247*10*I247*1000/2/('Calculation Constants'!$B$12*1000*'Calculation Constants'!$B$13))</f>
        <v>9.375</v>
      </c>
      <c r="Q247" s="66">
        <f t="shared" si="85"/>
        <v>689269.72334380972</v>
      </c>
      <c r="R247" s="27">
        <f>(1/(2*LOG(3.7*$I247/'Calculation Constants'!$B$2*1000)))^2</f>
        <v>9.0112502883211744E-3</v>
      </c>
      <c r="S247" s="19">
        <f t="shared" si="99"/>
        <v>3.2693475307588078</v>
      </c>
      <c r="T247" s="19">
        <f>IF($H247&gt;0,'Calculation Constants'!$B$9*Hydraulics!$K247^2/2/9.81/MAX($F$4:$F$253)*$H247,"")</f>
        <v>0.16326329219244826</v>
      </c>
      <c r="U247" s="19">
        <f t="shared" si="100"/>
        <v>3.432610822951256</v>
      </c>
      <c r="V247" s="19">
        <f t="shared" si="86"/>
        <v>0</v>
      </c>
      <c r="W247" s="19">
        <f t="shared" si="87"/>
        <v>137.00015881271975</v>
      </c>
      <c r="X247" s="23">
        <f t="shared" si="88"/>
        <v>1040.8931588127198</v>
      </c>
      <c r="Y247" s="22">
        <f>(1/(2*LOG(3.7*$I247/'Calculation Constants'!$B$3*1000)))^2</f>
        <v>1.0136821254400123E-2</v>
      </c>
      <c r="Z247" s="19">
        <f t="shared" si="89"/>
        <v>3.6777129119105498</v>
      </c>
      <c r="AA247" s="19">
        <f>IF($H247&gt;0,'Calculation Constants'!$B$9*Hydraulics!$K247^2/2/9.81/MAX($F$4:$F$253)*$H247,"")</f>
        <v>0.16326329219244826</v>
      </c>
      <c r="AB247" s="19">
        <f t="shared" si="108"/>
        <v>3.840976204102998</v>
      </c>
      <c r="AC247" s="19">
        <f t="shared" si="90"/>
        <v>0</v>
      </c>
      <c r="AD247" s="19">
        <f t="shared" si="101"/>
        <v>120.52621538433027</v>
      </c>
      <c r="AE247" s="23">
        <f t="shared" si="91"/>
        <v>1024.4192153843303</v>
      </c>
      <c r="AF247" s="27">
        <f>(1/(2*LOG(3.7*$I247/'Calculation Constants'!$B$4*1000)))^2</f>
        <v>1.1979797083255311E-2</v>
      </c>
      <c r="AG247" s="19">
        <f t="shared" si="92"/>
        <v>4.3463580257994474</v>
      </c>
      <c r="AH247" s="19">
        <f>IF($H247&gt;0,'Calculation Constants'!$B$9*Hydraulics!$K247^2/2/9.81/MAX($F$4:$F$253)*$H247,"")</f>
        <v>0.16326329219244826</v>
      </c>
      <c r="AI247" s="19">
        <f t="shared" si="102"/>
        <v>4.509621317991896</v>
      </c>
      <c r="AJ247" s="19">
        <f t="shared" si="93"/>
        <v>0</v>
      </c>
      <c r="AK247" s="19">
        <f t="shared" si="103"/>
        <v>93.647585858958564</v>
      </c>
      <c r="AL247" s="23">
        <f t="shared" si="94"/>
        <v>997.54058585895859</v>
      </c>
      <c r="AM247" s="22">
        <f>(1/(2*LOG(3.7*($I247-0.008)/'Calculation Constants'!$B$5*1000)))^2</f>
        <v>1.5294398771411635E-2</v>
      </c>
      <c r="AN247" s="19">
        <f t="shared" si="104"/>
        <v>5.5786726888400349</v>
      </c>
      <c r="AO247" s="19">
        <f>IF($H247&gt;0,'Calculation Constants'!$B$9*Hydraulics!$K247^2/2/9.81/MAX($F$4:$F$253)*$H247,"")</f>
        <v>0.16326329219244826</v>
      </c>
      <c r="AP247" s="19">
        <f t="shared" si="105"/>
        <v>5.7419359810324835</v>
      </c>
      <c r="AQ247" s="19">
        <f t="shared" si="95"/>
        <v>0</v>
      </c>
      <c r="AR247" s="19">
        <f t="shared" si="106"/>
        <v>44.61459141461205</v>
      </c>
      <c r="AS247" s="23">
        <f t="shared" si="96"/>
        <v>948.50759141461208</v>
      </c>
    </row>
    <row r="248" spans="5:45">
      <c r="E248" s="35" t="str">
        <f t="shared" si="82"/>
        <v/>
      </c>
      <c r="F248" s="19">
        <f>'Profile data'!A248</f>
        <v>490</v>
      </c>
      <c r="G248" s="19">
        <f>VLOOKUP(F248,'Profile data'!A248:C507,IF($B$22="Botswana 1",2,3))</f>
        <v>901.95299999999997</v>
      </c>
      <c r="H248" s="19">
        <f t="shared" si="107"/>
        <v>2</v>
      </c>
      <c r="I248" s="19">
        <v>1.5</v>
      </c>
      <c r="J248" s="36">
        <f>'Flow Rate Calculations'!$B$7</f>
        <v>4.0831050228310497</v>
      </c>
      <c r="K248" s="36">
        <f t="shared" si="97"/>
        <v>2.3105647912778942</v>
      </c>
      <c r="L248" s="37">
        <f>$I248*$K248/'Calculation Constants'!$B$7</f>
        <v>3067121.4043511869</v>
      </c>
      <c r="M248" s="37" t="str">
        <f t="shared" si="83"/>
        <v>Greater Dynamic Pressures</v>
      </c>
      <c r="N248" s="23">
        <f t="shared" si="98"/>
        <v>135.50754798976845</v>
      </c>
      <c r="O248" s="55">
        <f t="shared" si="84"/>
        <v>118.62523918022737</v>
      </c>
      <c r="P248" s="64">
        <f>MAX(I248*1000/'Calculation Constants'!$B$14,O248*10*I248*1000/2/('Calculation Constants'!$B$12*1000*'Calculation Constants'!$B$13))</f>
        <v>9.375</v>
      </c>
      <c r="Q248" s="66">
        <f t="shared" si="85"/>
        <v>689269.72334380972</v>
      </c>
      <c r="R248" s="27">
        <f>(1/(2*LOG(3.7*$I248/'Calculation Constants'!$B$2*1000)))^2</f>
        <v>9.0112502883211744E-3</v>
      </c>
      <c r="S248" s="19">
        <f t="shared" si="99"/>
        <v>3.2693475307588078</v>
      </c>
      <c r="T248" s="19">
        <f>IF($H248&gt;0,'Calculation Constants'!$B$9*Hydraulics!$K248^2/2/9.81/MAX($F$4:$F$253)*$H248,"")</f>
        <v>0.16326329219244826</v>
      </c>
      <c r="U248" s="19">
        <f t="shared" si="100"/>
        <v>3.432610822951256</v>
      </c>
      <c r="V248" s="19">
        <f t="shared" si="86"/>
        <v>0</v>
      </c>
      <c r="W248" s="19">
        <f t="shared" si="87"/>
        <v>135.50754798976845</v>
      </c>
      <c r="X248" s="23">
        <f t="shared" si="88"/>
        <v>1037.4605479897684</v>
      </c>
      <c r="Y248" s="22">
        <f>(1/(2*LOG(3.7*$I248/'Calculation Constants'!$B$3*1000)))^2</f>
        <v>1.0136821254400123E-2</v>
      </c>
      <c r="Z248" s="19">
        <f t="shared" si="89"/>
        <v>3.6777129119105498</v>
      </c>
      <c r="AA248" s="19">
        <f>IF($H248&gt;0,'Calculation Constants'!$B$9*Hydraulics!$K248^2/2/9.81/MAX($F$4:$F$253)*$H248,"")</f>
        <v>0.16326329219244826</v>
      </c>
      <c r="AB248" s="19">
        <f t="shared" si="108"/>
        <v>3.840976204102998</v>
      </c>
      <c r="AC248" s="19">
        <f t="shared" si="90"/>
        <v>0</v>
      </c>
      <c r="AD248" s="19">
        <f t="shared" si="101"/>
        <v>118.62523918022737</v>
      </c>
      <c r="AE248" s="23">
        <f t="shared" si="91"/>
        <v>1020.5782391802273</v>
      </c>
      <c r="AF248" s="27">
        <f>(1/(2*LOG(3.7*$I248/'Calculation Constants'!$B$4*1000)))^2</f>
        <v>1.1979797083255311E-2</v>
      </c>
      <c r="AG248" s="19">
        <f t="shared" si="92"/>
        <v>4.3463580257994474</v>
      </c>
      <c r="AH248" s="19">
        <f>IF($H248&gt;0,'Calculation Constants'!$B$9*Hydraulics!$K248^2/2/9.81/MAX($F$4:$F$253)*$H248,"")</f>
        <v>0.16326329219244826</v>
      </c>
      <c r="AI248" s="19">
        <f t="shared" si="102"/>
        <v>4.509621317991896</v>
      </c>
      <c r="AJ248" s="19">
        <f t="shared" si="93"/>
        <v>0</v>
      </c>
      <c r="AK248" s="19">
        <f t="shared" si="103"/>
        <v>91.077964540966718</v>
      </c>
      <c r="AL248" s="23">
        <f t="shared" si="94"/>
        <v>993.03096454096669</v>
      </c>
      <c r="AM248" s="22">
        <f>(1/(2*LOG(3.7*($I248-0.008)/'Calculation Constants'!$B$5*1000)))^2</f>
        <v>1.5294398771411635E-2</v>
      </c>
      <c r="AN248" s="19">
        <f t="shared" si="104"/>
        <v>5.5786726888400349</v>
      </c>
      <c r="AO248" s="19">
        <f>IF($H248&gt;0,'Calculation Constants'!$B$9*Hydraulics!$K248^2/2/9.81/MAX($F$4:$F$253)*$H248,"")</f>
        <v>0.16326329219244826</v>
      </c>
      <c r="AP248" s="19">
        <f t="shared" si="105"/>
        <v>5.7419359810324835</v>
      </c>
      <c r="AQ248" s="19">
        <f t="shared" si="95"/>
        <v>0</v>
      </c>
      <c r="AR248" s="19">
        <f t="shared" si="106"/>
        <v>40.812655433579607</v>
      </c>
      <c r="AS248" s="23">
        <f t="shared" si="96"/>
        <v>942.76565543357958</v>
      </c>
    </row>
    <row r="249" spans="5:45">
      <c r="E249" s="35" t="str">
        <f t="shared" si="82"/>
        <v/>
      </c>
      <c r="F249" s="19">
        <f>'Profile data'!A249</f>
        <v>492</v>
      </c>
      <c r="G249" s="19">
        <f>VLOOKUP(F249,'Profile data'!A249:C508,IF($B$22="Botswana 1",2,3))</f>
        <v>900.19799999999998</v>
      </c>
      <c r="H249" s="19">
        <f t="shared" si="107"/>
        <v>2</v>
      </c>
      <c r="I249" s="19">
        <v>1.5</v>
      </c>
      <c r="J249" s="36">
        <f>'Flow Rate Calculations'!$B$7</f>
        <v>4.0831050228310497</v>
      </c>
      <c r="K249" s="36">
        <f t="shared" si="97"/>
        <v>2.3105647912778942</v>
      </c>
      <c r="L249" s="37">
        <f>$I249*$K249/'Calculation Constants'!$B$7</f>
        <v>3067121.4043511869</v>
      </c>
      <c r="M249" s="37" t="str">
        <f t="shared" si="83"/>
        <v>Greater Dynamic Pressures</v>
      </c>
      <c r="N249" s="23">
        <f t="shared" si="98"/>
        <v>133.8299371668171</v>
      </c>
      <c r="O249" s="55">
        <f t="shared" si="84"/>
        <v>116.53926297612441</v>
      </c>
      <c r="P249" s="64">
        <f>MAX(I249*1000/'Calculation Constants'!$B$14,O249*10*I249*1000/2/('Calculation Constants'!$B$12*1000*'Calculation Constants'!$B$13))</f>
        <v>9.375</v>
      </c>
      <c r="Q249" s="66">
        <f t="shared" si="85"/>
        <v>689269.72334380972</v>
      </c>
      <c r="R249" s="27">
        <f>(1/(2*LOG(3.7*$I249/'Calculation Constants'!$B$2*1000)))^2</f>
        <v>9.0112502883211744E-3</v>
      </c>
      <c r="S249" s="19">
        <f t="shared" si="99"/>
        <v>3.2693475307588078</v>
      </c>
      <c r="T249" s="19">
        <f>IF($H249&gt;0,'Calculation Constants'!$B$9*Hydraulics!$K249^2/2/9.81/MAX($F$4:$F$253)*$H249,"")</f>
        <v>0.16326329219244826</v>
      </c>
      <c r="U249" s="19">
        <f t="shared" si="100"/>
        <v>3.432610822951256</v>
      </c>
      <c r="V249" s="19">
        <f t="shared" si="86"/>
        <v>0</v>
      </c>
      <c r="W249" s="19">
        <f t="shared" si="87"/>
        <v>133.8299371668171</v>
      </c>
      <c r="X249" s="23">
        <f t="shared" si="88"/>
        <v>1034.0279371668171</v>
      </c>
      <c r="Y249" s="22">
        <f>(1/(2*LOG(3.7*$I249/'Calculation Constants'!$B$3*1000)))^2</f>
        <v>1.0136821254400123E-2</v>
      </c>
      <c r="Z249" s="19">
        <f t="shared" si="89"/>
        <v>3.6777129119105498</v>
      </c>
      <c r="AA249" s="19">
        <f>IF($H249&gt;0,'Calculation Constants'!$B$9*Hydraulics!$K249^2/2/9.81/MAX($F$4:$F$253)*$H249,"")</f>
        <v>0.16326329219244826</v>
      </c>
      <c r="AB249" s="19">
        <f t="shared" si="108"/>
        <v>3.840976204102998</v>
      </c>
      <c r="AC249" s="19">
        <f t="shared" si="90"/>
        <v>0</v>
      </c>
      <c r="AD249" s="19">
        <f t="shared" si="101"/>
        <v>116.53926297612441</v>
      </c>
      <c r="AE249" s="23">
        <f t="shared" si="91"/>
        <v>1016.7372629761244</v>
      </c>
      <c r="AF249" s="27">
        <f>(1/(2*LOG(3.7*$I249/'Calculation Constants'!$B$4*1000)))^2</f>
        <v>1.1979797083255311E-2</v>
      </c>
      <c r="AG249" s="19">
        <f t="shared" si="92"/>
        <v>4.3463580257994474</v>
      </c>
      <c r="AH249" s="19">
        <f>IF($H249&gt;0,'Calculation Constants'!$B$9*Hydraulics!$K249^2/2/9.81/MAX($F$4:$F$253)*$H249,"")</f>
        <v>0.16326329219244826</v>
      </c>
      <c r="AI249" s="19">
        <f t="shared" si="102"/>
        <v>4.509621317991896</v>
      </c>
      <c r="AJ249" s="19">
        <f t="shared" si="93"/>
        <v>0</v>
      </c>
      <c r="AK249" s="19">
        <f t="shared" si="103"/>
        <v>88.323343222974813</v>
      </c>
      <c r="AL249" s="23">
        <f t="shared" si="94"/>
        <v>988.52134322297479</v>
      </c>
      <c r="AM249" s="22">
        <f>(1/(2*LOG(3.7*($I249-0.008)/'Calculation Constants'!$B$5*1000)))^2</f>
        <v>1.5294398771411635E-2</v>
      </c>
      <c r="AN249" s="19">
        <f t="shared" si="104"/>
        <v>5.5786726888400349</v>
      </c>
      <c r="AO249" s="19">
        <f>IF($H249&gt;0,'Calculation Constants'!$B$9*Hydraulics!$K249^2/2/9.81/MAX($F$4:$F$253)*$H249,"")</f>
        <v>0.16326329219244826</v>
      </c>
      <c r="AP249" s="19">
        <f t="shared" si="105"/>
        <v>5.7419359810324835</v>
      </c>
      <c r="AQ249" s="19">
        <f t="shared" si="95"/>
        <v>0</v>
      </c>
      <c r="AR249" s="19">
        <f t="shared" si="106"/>
        <v>36.825719452547105</v>
      </c>
      <c r="AS249" s="23">
        <f t="shared" si="96"/>
        <v>937.02371945254708</v>
      </c>
    </row>
    <row r="250" spans="5:45">
      <c r="E250" s="35" t="str">
        <f t="shared" si="82"/>
        <v/>
      </c>
      <c r="F250" s="19">
        <f>'Profile data'!A250</f>
        <v>494</v>
      </c>
      <c r="G250" s="19">
        <f>VLOOKUP(F250,'Profile data'!A250:C509,IF($B$22="Botswana 1",2,3))</f>
        <v>904.17700000000002</v>
      </c>
      <c r="H250" s="19">
        <f t="shared" si="107"/>
        <v>2</v>
      </c>
      <c r="I250" s="19">
        <v>1.5</v>
      </c>
      <c r="J250" s="36">
        <f>'Flow Rate Calculations'!$B$7</f>
        <v>4.0831050228310497</v>
      </c>
      <c r="K250" s="36">
        <f t="shared" si="97"/>
        <v>2.3105647912778942</v>
      </c>
      <c r="L250" s="37">
        <f>$I250*$K250/'Calculation Constants'!$B$7</f>
        <v>3067121.4043511869</v>
      </c>
      <c r="M250" s="37" t="str">
        <f t="shared" si="83"/>
        <v>Greater Dynamic Pressures</v>
      </c>
      <c r="N250" s="23">
        <f t="shared" si="98"/>
        <v>126.41832634386571</v>
      </c>
      <c r="O250" s="55">
        <f t="shared" si="84"/>
        <v>108.71928677202141</v>
      </c>
      <c r="P250" s="64">
        <f>MAX(I250*1000/'Calculation Constants'!$B$14,O250*10*I250*1000/2/('Calculation Constants'!$B$12*1000*'Calculation Constants'!$B$13))</f>
        <v>9.375</v>
      </c>
      <c r="Q250" s="66">
        <f t="shared" si="85"/>
        <v>689269.72334380972</v>
      </c>
      <c r="R250" s="27">
        <f>(1/(2*LOG(3.7*$I250/'Calculation Constants'!$B$2*1000)))^2</f>
        <v>9.0112502883211744E-3</v>
      </c>
      <c r="S250" s="19">
        <f t="shared" si="99"/>
        <v>3.2693475307588078</v>
      </c>
      <c r="T250" s="19">
        <f>IF($H250&gt;0,'Calculation Constants'!$B$9*Hydraulics!$K250^2/2/9.81/MAX($F$4:$F$253)*$H250,"")</f>
        <v>0.16326329219244826</v>
      </c>
      <c r="U250" s="19">
        <f t="shared" si="100"/>
        <v>3.432610822951256</v>
      </c>
      <c r="V250" s="19">
        <f t="shared" si="86"/>
        <v>0</v>
      </c>
      <c r="W250" s="19">
        <f t="shared" si="87"/>
        <v>126.41832634386571</v>
      </c>
      <c r="X250" s="23">
        <f t="shared" si="88"/>
        <v>1030.5953263438657</v>
      </c>
      <c r="Y250" s="22">
        <f>(1/(2*LOG(3.7*$I250/'Calculation Constants'!$B$3*1000)))^2</f>
        <v>1.0136821254400123E-2</v>
      </c>
      <c r="Z250" s="19">
        <f t="shared" si="89"/>
        <v>3.6777129119105498</v>
      </c>
      <c r="AA250" s="19">
        <f>IF($H250&gt;0,'Calculation Constants'!$B$9*Hydraulics!$K250^2/2/9.81/MAX($F$4:$F$253)*$H250,"")</f>
        <v>0.16326329219244826</v>
      </c>
      <c r="AB250" s="19">
        <f t="shared" si="108"/>
        <v>3.840976204102998</v>
      </c>
      <c r="AC250" s="19">
        <f t="shared" si="90"/>
        <v>0</v>
      </c>
      <c r="AD250" s="19">
        <f t="shared" si="101"/>
        <v>108.71928677202141</v>
      </c>
      <c r="AE250" s="23">
        <f t="shared" si="91"/>
        <v>1012.8962867720214</v>
      </c>
      <c r="AF250" s="27">
        <f>(1/(2*LOG(3.7*$I250/'Calculation Constants'!$B$4*1000)))^2</f>
        <v>1.1979797083255311E-2</v>
      </c>
      <c r="AG250" s="19">
        <f t="shared" si="92"/>
        <v>4.3463580257994474</v>
      </c>
      <c r="AH250" s="19">
        <f>IF($H250&gt;0,'Calculation Constants'!$B$9*Hydraulics!$K250^2/2/9.81/MAX($F$4:$F$253)*$H250,"")</f>
        <v>0.16326329219244826</v>
      </c>
      <c r="AI250" s="19">
        <f t="shared" si="102"/>
        <v>4.509621317991896</v>
      </c>
      <c r="AJ250" s="19">
        <f t="shared" si="93"/>
        <v>0</v>
      </c>
      <c r="AK250" s="19">
        <f t="shared" si="103"/>
        <v>79.834721904982871</v>
      </c>
      <c r="AL250" s="23">
        <f t="shared" si="94"/>
        <v>984.01172190498289</v>
      </c>
      <c r="AM250" s="22">
        <f>(1/(2*LOG(3.7*($I250-0.008)/'Calculation Constants'!$B$5*1000)))^2</f>
        <v>1.5294398771411635E-2</v>
      </c>
      <c r="AN250" s="19">
        <f t="shared" si="104"/>
        <v>5.5786726888400349</v>
      </c>
      <c r="AO250" s="19">
        <f>IF($H250&gt;0,'Calculation Constants'!$B$9*Hydraulics!$K250^2/2/9.81/MAX($F$4:$F$253)*$H250,"")</f>
        <v>0.16326329219244826</v>
      </c>
      <c r="AP250" s="19">
        <f t="shared" si="105"/>
        <v>5.7419359810324835</v>
      </c>
      <c r="AQ250" s="19">
        <f t="shared" si="95"/>
        <v>0</v>
      </c>
      <c r="AR250" s="19">
        <f t="shared" si="106"/>
        <v>27.104783471514565</v>
      </c>
      <c r="AS250" s="23">
        <f t="shared" si="96"/>
        <v>931.28178347151459</v>
      </c>
    </row>
    <row r="251" spans="5:45">
      <c r="E251" s="35" t="str">
        <f t="shared" si="82"/>
        <v/>
      </c>
      <c r="F251" s="19">
        <f>'Profile data'!A251</f>
        <v>496</v>
      </c>
      <c r="G251" s="19">
        <f>VLOOKUP(F251,'Profile data'!A251:C510,IF($B$22="Botswana 1",2,3))</f>
        <v>912.25300000000004</v>
      </c>
      <c r="H251" s="19">
        <f t="shared" si="107"/>
        <v>2</v>
      </c>
      <c r="I251" s="19">
        <v>1.5</v>
      </c>
      <c r="J251" s="36">
        <f>'Flow Rate Calculations'!$B$7</f>
        <v>4.0831050228310497</v>
      </c>
      <c r="K251" s="36">
        <f t="shared" si="97"/>
        <v>2.3105647912778942</v>
      </c>
      <c r="L251" s="37">
        <f>$I251*$K251/'Calculation Constants'!$B$7</f>
        <v>3067121.4043511869</v>
      </c>
      <c r="M251" s="37" t="str">
        <f t="shared" si="83"/>
        <v>Greater Dynamic Pressures</v>
      </c>
      <c r="N251" s="23">
        <f t="shared" si="98"/>
        <v>114.90971552091435</v>
      </c>
      <c r="O251" s="55">
        <f t="shared" si="84"/>
        <v>96.802310567918425</v>
      </c>
      <c r="P251" s="64">
        <f>MAX(I251*1000/'Calculation Constants'!$B$14,O251*10*I251*1000/2/('Calculation Constants'!$B$12*1000*'Calculation Constants'!$B$13))</f>
        <v>9.375</v>
      </c>
      <c r="Q251" s="66">
        <f t="shared" si="85"/>
        <v>689269.72334380972</v>
      </c>
      <c r="R251" s="27">
        <f>(1/(2*LOG(3.7*$I251/'Calculation Constants'!$B$2*1000)))^2</f>
        <v>9.0112502883211744E-3</v>
      </c>
      <c r="S251" s="19">
        <f t="shared" si="99"/>
        <v>3.2693475307588078</v>
      </c>
      <c r="T251" s="19">
        <f>IF($H251&gt;0,'Calculation Constants'!$B$9*Hydraulics!$K251^2/2/9.81/MAX($F$4:$F$253)*$H251,"")</f>
        <v>0.16326329219244826</v>
      </c>
      <c r="U251" s="19">
        <f t="shared" si="100"/>
        <v>3.432610822951256</v>
      </c>
      <c r="V251" s="19">
        <f t="shared" si="86"/>
        <v>0</v>
      </c>
      <c r="W251" s="19">
        <f t="shared" si="87"/>
        <v>114.90971552091435</v>
      </c>
      <c r="X251" s="23">
        <f t="shared" si="88"/>
        <v>1027.1627155209144</v>
      </c>
      <c r="Y251" s="22">
        <f>(1/(2*LOG(3.7*$I251/'Calculation Constants'!$B$3*1000)))^2</f>
        <v>1.0136821254400123E-2</v>
      </c>
      <c r="Z251" s="19">
        <f t="shared" si="89"/>
        <v>3.6777129119105498</v>
      </c>
      <c r="AA251" s="19">
        <f>IF($H251&gt;0,'Calculation Constants'!$B$9*Hydraulics!$K251^2/2/9.81/MAX($F$4:$F$253)*$H251,"")</f>
        <v>0.16326329219244826</v>
      </c>
      <c r="AB251" s="19">
        <f t="shared" si="108"/>
        <v>3.840976204102998</v>
      </c>
      <c r="AC251" s="19">
        <f t="shared" si="90"/>
        <v>0</v>
      </c>
      <c r="AD251" s="19">
        <f t="shared" si="101"/>
        <v>96.802310567918425</v>
      </c>
      <c r="AE251" s="23">
        <f t="shared" si="91"/>
        <v>1009.0553105679185</v>
      </c>
      <c r="AF251" s="27">
        <f>(1/(2*LOG(3.7*$I251/'Calculation Constants'!$B$4*1000)))^2</f>
        <v>1.1979797083255311E-2</v>
      </c>
      <c r="AG251" s="19">
        <f t="shared" si="92"/>
        <v>4.3463580257994474</v>
      </c>
      <c r="AH251" s="19">
        <f>IF($H251&gt;0,'Calculation Constants'!$B$9*Hydraulics!$K251^2/2/9.81/MAX($F$4:$F$253)*$H251,"")</f>
        <v>0.16326329219244826</v>
      </c>
      <c r="AI251" s="19">
        <f t="shared" si="102"/>
        <v>4.509621317991896</v>
      </c>
      <c r="AJ251" s="19">
        <f t="shared" si="93"/>
        <v>0</v>
      </c>
      <c r="AK251" s="19">
        <f t="shared" si="103"/>
        <v>67.249100586990949</v>
      </c>
      <c r="AL251" s="23">
        <f t="shared" si="94"/>
        <v>979.50210058699099</v>
      </c>
      <c r="AM251" s="22">
        <f>(1/(2*LOG(3.7*($I251-0.008)/'Calculation Constants'!$B$5*1000)))^2</f>
        <v>1.5294398771411635E-2</v>
      </c>
      <c r="AN251" s="19">
        <f t="shared" si="104"/>
        <v>5.5786726888400349</v>
      </c>
      <c r="AO251" s="19">
        <f>IF($H251&gt;0,'Calculation Constants'!$B$9*Hydraulics!$K251^2/2/9.81/MAX($F$4:$F$253)*$H251,"")</f>
        <v>0.16326329219244826</v>
      </c>
      <c r="AP251" s="19">
        <f t="shared" si="105"/>
        <v>5.7419359810324835</v>
      </c>
      <c r="AQ251" s="19">
        <f t="shared" si="95"/>
        <v>0</v>
      </c>
      <c r="AR251" s="19">
        <f t="shared" si="106"/>
        <v>13.286847490482046</v>
      </c>
      <c r="AS251" s="23">
        <f t="shared" si="96"/>
        <v>925.53984749048209</v>
      </c>
    </row>
    <row r="252" spans="5:45">
      <c r="E252" s="35" t="str">
        <f t="shared" si="82"/>
        <v/>
      </c>
      <c r="F252" s="19">
        <f>'Profile data'!A252</f>
        <v>498</v>
      </c>
      <c r="G252" s="19">
        <f>VLOOKUP(F252,'Profile data'!A252:C511,IF($B$22="Botswana 1",2,3))</f>
        <v>915.29700000000003</v>
      </c>
      <c r="H252" s="19">
        <f t="shared" si="107"/>
        <v>2</v>
      </c>
      <c r="I252" s="19">
        <v>1.5</v>
      </c>
      <c r="J252" s="36">
        <f>'Flow Rate Calculations'!$B$7</f>
        <v>4.0831050228310497</v>
      </c>
      <c r="K252" s="36">
        <f t="shared" si="97"/>
        <v>2.3105647912778942</v>
      </c>
      <c r="L252" s="37">
        <f>$I252*$K252/'Calculation Constants'!$B$7</f>
        <v>3067121.4043511869</v>
      </c>
      <c r="M252" s="37" t="str">
        <f t="shared" si="83"/>
        <v>Greater Dynamic Pressures</v>
      </c>
      <c r="N252" s="23">
        <f t="shared" si="98"/>
        <v>108.43310469796313</v>
      </c>
      <c r="O252" s="55">
        <f t="shared" si="84"/>
        <v>89.917334363815485</v>
      </c>
      <c r="P252" s="64">
        <f>MAX(I252*1000/'Calculation Constants'!$B$14,O252*10*I252*1000/2/('Calculation Constants'!$B$12*1000*'Calculation Constants'!$B$13))</f>
        <v>9.375</v>
      </c>
      <c r="Q252" s="66">
        <f t="shared" si="85"/>
        <v>689269.72334380972</v>
      </c>
      <c r="R252" s="27">
        <f>(1/(2*LOG(3.7*$I252/'Calculation Constants'!$B$2*1000)))^2</f>
        <v>9.0112502883211744E-3</v>
      </c>
      <c r="S252" s="19">
        <f t="shared" si="99"/>
        <v>3.2693475307588078</v>
      </c>
      <c r="T252" s="19">
        <f>IF($H252&gt;0,'Calculation Constants'!$B$9*Hydraulics!$K252^2/2/9.81/MAX($F$4:$F$253)*$H252,"")</f>
        <v>0.16326329219244826</v>
      </c>
      <c r="U252" s="19">
        <f t="shared" si="100"/>
        <v>3.432610822951256</v>
      </c>
      <c r="V252" s="19">
        <f t="shared" si="86"/>
        <v>0</v>
      </c>
      <c r="W252" s="19">
        <f t="shared" si="87"/>
        <v>108.43310469796313</v>
      </c>
      <c r="X252" s="23">
        <f t="shared" si="88"/>
        <v>1023.7301046979632</v>
      </c>
      <c r="Y252" s="22">
        <f>(1/(2*LOG(3.7*$I252/'Calculation Constants'!$B$3*1000)))^2</f>
        <v>1.0136821254400123E-2</v>
      </c>
      <c r="Z252" s="19">
        <f t="shared" si="89"/>
        <v>3.6777129119105498</v>
      </c>
      <c r="AA252" s="19">
        <f>IF($H252&gt;0,'Calculation Constants'!$B$9*Hydraulics!$K252^2/2/9.81/MAX($F$4:$F$253)*$H252,"")</f>
        <v>0.16326329219244826</v>
      </c>
      <c r="AB252" s="19">
        <f t="shared" si="108"/>
        <v>3.840976204102998</v>
      </c>
      <c r="AC252" s="19">
        <f t="shared" si="90"/>
        <v>0</v>
      </c>
      <c r="AD252" s="19">
        <f t="shared" si="101"/>
        <v>89.917334363815485</v>
      </c>
      <c r="AE252" s="23">
        <f t="shared" si="91"/>
        <v>1005.2143343638155</v>
      </c>
      <c r="AF252" s="27">
        <f>(1/(2*LOG(3.7*$I252/'Calculation Constants'!$B$4*1000)))^2</f>
        <v>1.1979797083255311E-2</v>
      </c>
      <c r="AG252" s="19">
        <f t="shared" si="92"/>
        <v>4.3463580257994474</v>
      </c>
      <c r="AH252" s="19">
        <f>IF($H252&gt;0,'Calculation Constants'!$B$9*Hydraulics!$K252^2/2/9.81/MAX($F$4:$F$253)*$H252,"")</f>
        <v>0.16326329219244826</v>
      </c>
      <c r="AI252" s="19">
        <f t="shared" si="102"/>
        <v>4.509621317991896</v>
      </c>
      <c r="AJ252" s="19">
        <f t="shared" si="93"/>
        <v>0</v>
      </c>
      <c r="AK252" s="19">
        <f t="shared" si="103"/>
        <v>59.695479268999065</v>
      </c>
      <c r="AL252" s="23">
        <f t="shared" si="94"/>
        <v>974.99247926899909</v>
      </c>
      <c r="AM252" s="22">
        <f>(1/(2*LOG(3.7*($I252-0.008)/'Calculation Constants'!$B$5*1000)))^2</f>
        <v>1.5294398771411635E-2</v>
      </c>
      <c r="AN252" s="19">
        <f t="shared" si="104"/>
        <v>5.5786726888400349</v>
      </c>
      <c r="AO252" s="19">
        <f>IF($H252&gt;0,'Calculation Constants'!$B$9*Hydraulics!$K252^2/2/9.81/MAX($F$4:$F$253)*$H252,"")</f>
        <v>0.16326329219244826</v>
      </c>
      <c r="AP252" s="19">
        <f t="shared" si="105"/>
        <v>5.7419359810324835</v>
      </c>
      <c r="AQ252" s="19">
        <f t="shared" si="95"/>
        <v>0</v>
      </c>
      <c r="AR252" s="19">
        <f t="shared" si="106"/>
        <v>4.5009115094495655</v>
      </c>
      <c r="AS252" s="23">
        <f t="shared" si="96"/>
        <v>919.79791150944959</v>
      </c>
    </row>
    <row r="253" spans="5:45" ht="15.75" thickBot="1">
      <c r="E253" s="35" t="str">
        <f t="shared" si="82"/>
        <v>Reservoir</v>
      </c>
      <c r="F253" s="25">
        <f>'Profile data'!A253</f>
        <v>500</v>
      </c>
      <c r="G253" s="25">
        <f>VLOOKUP(F253,'Profile data'!A253:C512,IF($B$22="Botswana 1",2,3))</f>
        <v>919.62900000000002</v>
      </c>
      <c r="H253" s="25">
        <f t="shared" si="107"/>
        <v>2</v>
      </c>
      <c r="I253" s="25">
        <v>1.5</v>
      </c>
      <c r="J253" s="38">
        <f>'Flow Rate Calculations'!$B$7</f>
        <v>4.0831050228310497</v>
      </c>
      <c r="K253" s="38">
        <f t="shared" si="97"/>
        <v>2.3105647912778942</v>
      </c>
      <c r="L253" s="39">
        <f>$I253*$K253/'Calculation Constants'!$B$7</f>
        <v>3067121.4043511869</v>
      </c>
      <c r="M253" s="39">
        <f t="shared" si="83"/>
        <v>10</v>
      </c>
      <c r="N253" s="26">
        <f t="shared" si="98"/>
        <v>10</v>
      </c>
      <c r="O253" s="56">
        <f t="shared" si="84"/>
        <v>10</v>
      </c>
      <c r="P253" s="65">
        <f>MAX(I253*1000/'Calculation Constants'!$B$14,O253*10*I253*1000/2/('Calculation Constants'!$B$12*1000*'Calculation Constants'!$B$13))</f>
        <v>9.375</v>
      </c>
      <c r="Q253" s="67">
        <f t="shared" si="85"/>
        <v>689269.72334380972</v>
      </c>
      <c r="R253" s="30">
        <f>(1/(2*LOG(3.7*$I253/'Calculation Constants'!$B$2*1000)))^2</f>
        <v>9.0112502883211744E-3</v>
      </c>
      <c r="S253" s="25">
        <f t="shared" si="99"/>
        <v>3.2693475307588078</v>
      </c>
      <c r="T253" s="25">
        <f>IF($H253&gt;0,'Calculation Constants'!$B$9*Hydraulics!$K253^2/2/9.81/MAX($F$4:$F$253)*$H253,"")</f>
        <v>0.16326329219244826</v>
      </c>
      <c r="U253" s="25">
        <f t="shared" si="100"/>
        <v>3.432610822951256</v>
      </c>
      <c r="V253" s="25">
        <f t="shared" si="86"/>
        <v>0</v>
      </c>
      <c r="W253" s="25">
        <f t="shared" si="87"/>
        <v>10</v>
      </c>
      <c r="X253" s="26">
        <f t="shared" si="88"/>
        <v>929.62900000000002</v>
      </c>
      <c r="Y253" s="24">
        <f>(1/(2*LOG(3.7*$I253/'Calculation Constants'!$B$3*1000)))^2</f>
        <v>1.0136821254400123E-2</v>
      </c>
      <c r="Z253" s="25">
        <f t="shared" si="89"/>
        <v>3.6777129119105498</v>
      </c>
      <c r="AA253" s="25">
        <f>IF($H253&gt;0,'Calculation Constants'!$B$9*Hydraulics!$K253^2/2/9.81/MAX($F$4:$F$253)*$H253,"")</f>
        <v>0.16326329219244826</v>
      </c>
      <c r="AB253" s="25">
        <f t="shared" si="108"/>
        <v>3.840976204102998</v>
      </c>
      <c r="AC253" s="25">
        <f t="shared" si="90"/>
        <v>0</v>
      </c>
      <c r="AD253" s="25">
        <f t="shared" si="101"/>
        <v>10</v>
      </c>
      <c r="AE253" s="26">
        <f t="shared" si="91"/>
        <v>929.62900000000002</v>
      </c>
      <c r="AF253" s="30">
        <f>(1/(2*LOG(3.7*$I253/'Calculation Constants'!$B$4*1000)))^2</f>
        <v>1.1979797083255311E-2</v>
      </c>
      <c r="AG253" s="25">
        <f t="shared" si="92"/>
        <v>4.3463580257994474</v>
      </c>
      <c r="AH253" s="25">
        <f>IF($H253&gt;0,'Calculation Constants'!$B$9*Hydraulics!$K253^2/2/9.81/MAX($F$4:$F$253)*$H253,"")</f>
        <v>0.16326329219244826</v>
      </c>
      <c r="AI253" s="25">
        <f t="shared" si="102"/>
        <v>4.509621317991896</v>
      </c>
      <c r="AJ253" s="25">
        <f t="shared" si="93"/>
        <v>0</v>
      </c>
      <c r="AK253" s="25">
        <f t="shared" si="103"/>
        <v>10</v>
      </c>
      <c r="AL253" s="26">
        <f t="shared" si="94"/>
        <v>929.62900000000002</v>
      </c>
      <c r="AM253" s="24">
        <f>(1/(2*LOG(3.7*($I253-0.008)/'Calculation Constants'!$B$5*1000)))^2</f>
        <v>1.5294398771411635E-2</v>
      </c>
      <c r="AN253" s="25">
        <f t="shared" si="104"/>
        <v>5.5786726888400349</v>
      </c>
      <c r="AO253" s="25">
        <f>IF($H253&gt;0,'Calculation Constants'!$B$9*Hydraulics!$K253^2/2/9.81/MAX($F$4:$F$253)*$H253,"")</f>
        <v>0.16326329219244826</v>
      </c>
      <c r="AP253" s="25">
        <f t="shared" si="105"/>
        <v>5.7419359810324835</v>
      </c>
      <c r="AQ253" s="25">
        <f t="shared" si="95"/>
        <v>0</v>
      </c>
      <c r="AR253" s="25">
        <f t="shared" si="106"/>
        <v>10</v>
      </c>
      <c r="AS253" s="26">
        <f t="shared" si="96"/>
        <v>929.62900000000002</v>
      </c>
    </row>
    <row r="254" spans="5:45" ht="15.75" thickBot="1">
      <c r="E254" s="71"/>
      <c r="F254" s="71"/>
      <c r="G254" s="71"/>
      <c r="H254" s="71"/>
      <c r="I254" s="71"/>
      <c r="J254" s="71"/>
      <c r="K254" s="71"/>
      <c r="L254" s="71"/>
      <c r="M254" s="71"/>
      <c r="N254" s="71"/>
      <c r="O254" s="71"/>
      <c r="P254" s="71" t="s">
        <v>76</v>
      </c>
      <c r="Q254" s="68">
        <f>SUM(Q4:Q253)</f>
        <v>287247672.05828917</v>
      </c>
      <c r="R254" s="71"/>
      <c r="S254" s="71"/>
      <c r="T254" s="71"/>
      <c r="U254" s="71"/>
      <c r="V254" s="71"/>
      <c r="W254" s="71"/>
      <c r="X254" s="71"/>
      <c r="Y254" s="71"/>
      <c r="Z254" s="71"/>
      <c r="AA254" s="71"/>
      <c r="AB254" s="71"/>
      <c r="AC254" s="71"/>
      <c r="AD254" s="71"/>
      <c r="AE254" s="71"/>
      <c r="AF254" s="71"/>
      <c r="AG254" s="71"/>
      <c r="AH254" s="71"/>
      <c r="AI254" s="71"/>
      <c r="AJ254" s="71"/>
      <c r="AK254" s="71"/>
      <c r="AL254" s="71"/>
      <c r="AM254" s="71"/>
      <c r="AN254" s="71"/>
      <c r="AO254" s="71"/>
      <c r="AP254" s="71"/>
      <c r="AQ254" s="71"/>
      <c r="AR254" s="71"/>
      <c r="AS254" s="71"/>
    </row>
    <row r="255" spans="5:45" ht="15.75" thickTop="1">
      <c r="Q255" s="69"/>
    </row>
  </sheetData>
  <mergeCells count="9">
    <mergeCell ref="R1:AS1"/>
    <mergeCell ref="A1:D1"/>
    <mergeCell ref="A2:D2"/>
    <mergeCell ref="A9:D9"/>
    <mergeCell ref="AM2:AS2"/>
    <mergeCell ref="Y2:AE2"/>
    <mergeCell ref="E2:N2"/>
    <mergeCell ref="O2:Q2"/>
    <mergeCell ref="E1:Q1"/>
  </mergeCells>
  <dataValidations count="3">
    <dataValidation type="decimal" operator="greaterThanOrEqual" allowBlank="1" showInputMessage="1" showErrorMessage="1" sqref="W4:W253 AR4:AR253 AK4:AK253 AD4:AD253">
      <formula1>10</formula1>
    </dataValidation>
    <dataValidation type="list" allowBlank="1" showInputMessage="1" showErrorMessage="1" sqref="B11:B15 B4:B6">
      <formula1>Chaiange</formula1>
    </dataValidation>
    <dataValidation type="list" allowBlank="1" showInputMessage="1" showErrorMessage="1" sqref="B22">
      <formula1>Routes</formula1>
    </dataValidation>
  </dataValidations>
  <pageMargins left="0.70866141732283472" right="0.70866141732283472" top="0.74803149606299213" bottom="0.74803149606299213" header="0.31496062992125984" footer="0.31496062992125984"/>
  <pageSetup paperSize="9" scale="35" fitToHeight="9" orientation="landscape" r:id="rId1"/>
  <colBreaks count="1" manualBreakCount="1">
    <brk id="4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Summary</vt:lpstr>
      <vt:lpstr>Profile data</vt:lpstr>
      <vt:lpstr>Flow Rate Calculations</vt:lpstr>
      <vt:lpstr>Calculation Constants</vt:lpstr>
      <vt:lpstr>Hydraulics</vt:lpstr>
      <vt:lpstr>Profile</vt:lpstr>
      <vt:lpstr>Chaiange</vt:lpstr>
      <vt:lpstr>Hydraulics!Print_Area</vt:lpstr>
      <vt:lpstr>Hydraulics!Print_Titles</vt:lpstr>
      <vt:lpstr>Routes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</dc:creator>
  <cp:lastModifiedBy>zovuyo</cp:lastModifiedBy>
  <cp:lastPrinted>2010-05-21T13:24:06Z</cp:lastPrinted>
  <dcterms:created xsi:type="dcterms:W3CDTF">2010-04-20T13:30:20Z</dcterms:created>
  <dcterms:modified xsi:type="dcterms:W3CDTF">2010-08-17T10:07:17Z</dcterms:modified>
</cp:coreProperties>
</file>