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 firstSheet="1" activeTab="1"/>
  </bookViews>
  <sheets>
    <sheet name="Summary" sheetId="8" r:id="rId1"/>
    <sheet name="Control Points" sheetId="9" r:id="rId2"/>
    <sheet name="Profile data" sheetId="2" r:id="rId3"/>
    <sheet name="Flow Rate Calculations" sheetId="3" r:id="rId4"/>
    <sheet name="Calculation Constants" sheetId="5" r:id="rId5"/>
    <sheet name="Hydraulics" sheetId="4" r:id="rId6"/>
    <sheet name="Profile" sheetId="7" r:id="rId7"/>
  </sheets>
  <definedNames>
    <definedName name="Chaiange">Hydraulics!$F$4:$F$263</definedName>
    <definedName name="_xlnm.Print_Area" localSheetId="5">Hydraulics!$R$1:$AS$264</definedName>
    <definedName name="_xlnm.Print_Titles" localSheetId="5">Hydraulics!$1:$3</definedName>
    <definedName name="Routes" localSheetId="1">'Control Points'!$E$3:$E$4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E1" i="4"/>
  <c r="R1" s="1"/>
  <c r="AN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254"/>
  <c r="AM255"/>
  <c r="AM256"/>
  <c r="AM257"/>
  <c r="AM258"/>
  <c r="AM259"/>
  <c r="AM260"/>
  <c r="AM261"/>
  <c r="AM262"/>
  <c r="AM26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254"/>
  <c r="AF255"/>
  <c r="AF256"/>
  <c r="AF257"/>
  <c r="AF258"/>
  <c r="AF259"/>
  <c r="AF260"/>
  <c r="AF261"/>
  <c r="AF262"/>
  <c r="AF26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4"/>
  <c r="F5" l="1"/>
  <c r="E5" s="1"/>
  <c r="F6"/>
  <c r="E6" s="1"/>
  <c r="F7"/>
  <c r="E7" s="1"/>
  <c r="F8"/>
  <c r="E8" s="1"/>
  <c r="F9"/>
  <c r="E9" s="1"/>
  <c r="F10"/>
  <c r="E10" s="1"/>
  <c r="F11"/>
  <c r="E11" s="1"/>
  <c r="F12"/>
  <c r="E12" s="1"/>
  <c r="AO4"/>
  <c r="AP4"/>
  <c r="AH4"/>
  <c r="AG4"/>
  <c r="AI4" s="1"/>
  <c r="AA4"/>
  <c r="T4"/>
  <c r="Z4"/>
  <c r="AB4" s="1"/>
  <c r="S4"/>
  <c r="U4" s="1"/>
  <c r="C6"/>
  <c r="C15"/>
  <c r="F13" l="1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E128" s="1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F254"/>
  <c r="E254" s="1"/>
  <c r="F255"/>
  <c r="E255" s="1"/>
  <c r="F256"/>
  <c r="E256" s="1"/>
  <c r="F257"/>
  <c r="E257" s="1"/>
  <c r="F258"/>
  <c r="E258" s="1"/>
  <c r="F259"/>
  <c r="E259" s="1"/>
  <c r="F260"/>
  <c r="E260" s="1"/>
  <c r="F261"/>
  <c r="E261" s="1"/>
  <c r="F262"/>
  <c r="E262" s="1"/>
  <c r="F263"/>
  <c r="E263" s="1"/>
  <c r="F4"/>
  <c r="E4" s="1"/>
  <c r="B7" i="3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6"/>
  <c r="K216" s="1"/>
  <c r="L216" s="1"/>
  <c r="J218"/>
  <c r="K218" s="1"/>
  <c r="L218" s="1"/>
  <c r="J220"/>
  <c r="K220" s="1"/>
  <c r="L220" s="1"/>
  <c r="J222"/>
  <c r="K222" s="1"/>
  <c r="L222" s="1"/>
  <c r="J224"/>
  <c r="K224" s="1"/>
  <c r="L224" s="1"/>
  <c r="J226"/>
  <c r="K226" s="1"/>
  <c r="L226" s="1"/>
  <c r="J228"/>
  <c r="K228" s="1"/>
  <c r="L228" s="1"/>
  <c r="J230"/>
  <c r="K230" s="1"/>
  <c r="L230" s="1"/>
  <c r="J232"/>
  <c r="K232" s="1"/>
  <c r="L232" s="1"/>
  <c r="J234"/>
  <c r="K234" s="1"/>
  <c r="L234" s="1"/>
  <c r="J236"/>
  <c r="K236" s="1"/>
  <c r="L236" s="1"/>
  <c r="J238"/>
  <c r="K238" s="1"/>
  <c r="L238" s="1"/>
  <c r="J240"/>
  <c r="K240" s="1"/>
  <c r="L240" s="1"/>
  <c r="J242"/>
  <c r="K242" s="1"/>
  <c r="L242" s="1"/>
  <c r="J244"/>
  <c r="K244" s="1"/>
  <c r="L244" s="1"/>
  <c r="J246"/>
  <c r="K246" s="1"/>
  <c r="L246" s="1"/>
  <c r="J248"/>
  <c r="K248" s="1"/>
  <c r="L248" s="1"/>
  <c r="J250"/>
  <c r="K250" s="1"/>
  <c r="L250" s="1"/>
  <c r="J254"/>
  <c r="K254" s="1"/>
  <c r="L254" s="1"/>
  <c r="J258"/>
  <c r="K258" s="1"/>
  <c r="L258" s="1"/>
  <c r="J262"/>
  <c r="K262" s="1"/>
  <c r="L262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1"/>
  <c r="K221" s="1"/>
  <c r="L221" s="1"/>
  <c r="J223"/>
  <c r="K223" s="1"/>
  <c r="L223" s="1"/>
  <c r="J225"/>
  <c r="K225" s="1"/>
  <c r="L225" s="1"/>
  <c r="J227"/>
  <c r="K227" s="1"/>
  <c r="L227" s="1"/>
  <c r="J229"/>
  <c r="K229" s="1"/>
  <c r="L229" s="1"/>
  <c r="J231"/>
  <c r="K231" s="1"/>
  <c r="L231" s="1"/>
  <c r="J233"/>
  <c r="K233" s="1"/>
  <c r="L233" s="1"/>
  <c r="J235"/>
  <c r="K235" s="1"/>
  <c r="L235" s="1"/>
  <c r="J237"/>
  <c r="K237" s="1"/>
  <c r="L237" s="1"/>
  <c r="J239"/>
  <c r="K239" s="1"/>
  <c r="L239" s="1"/>
  <c r="J241"/>
  <c r="K241" s="1"/>
  <c r="L241" s="1"/>
  <c r="J243"/>
  <c r="K243" s="1"/>
  <c r="L243" s="1"/>
  <c r="J245"/>
  <c r="K245" s="1"/>
  <c r="L245" s="1"/>
  <c r="J247"/>
  <c r="K247" s="1"/>
  <c r="L247" s="1"/>
  <c r="J249"/>
  <c r="K249" s="1"/>
  <c r="L249" s="1"/>
  <c r="J251"/>
  <c r="K251" s="1"/>
  <c r="L251" s="1"/>
  <c r="J253"/>
  <c r="K253" s="1"/>
  <c r="L253" s="1"/>
  <c r="J255"/>
  <c r="K255" s="1"/>
  <c r="L255" s="1"/>
  <c r="J257"/>
  <c r="K257" s="1"/>
  <c r="L257" s="1"/>
  <c r="J259"/>
  <c r="K259" s="1"/>
  <c r="L259" s="1"/>
  <c r="J261"/>
  <c r="K261" s="1"/>
  <c r="L261" s="1"/>
  <c r="J263"/>
  <c r="K263" s="1"/>
  <c r="L263" s="1"/>
  <c r="J252"/>
  <c r="K252" s="1"/>
  <c r="L252" s="1"/>
  <c r="J256"/>
  <c r="K256" s="1"/>
  <c r="L256" s="1"/>
  <c r="J260"/>
  <c r="K260" s="1"/>
  <c r="L260" s="1"/>
  <c r="J4"/>
  <c r="K4" s="1"/>
  <c r="L4" s="1"/>
  <c r="AJ257"/>
  <c r="AQ257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58"/>
  <c r="AQ258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61"/>
  <c r="AQ261"/>
  <c r="AJ241"/>
  <c r="AQ241"/>
  <c r="AJ254"/>
  <c r="AQ254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63"/>
  <c r="AQ263"/>
  <c r="AJ259"/>
  <c r="AQ259"/>
  <c r="AJ255"/>
  <c r="AQ255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62"/>
  <c r="AQ262"/>
  <c r="AJ250"/>
  <c r="AQ250"/>
  <c r="AJ238"/>
  <c r="AQ238"/>
  <c r="AJ226"/>
  <c r="AQ226"/>
  <c r="AJ206"/>
  <c r="AQ206"/>
  <c r="AJ186"/>
  <c r="AQ186"/>
  <c r="AJ4"/>
  <c r="AQ4"/>
  <c r="AJ260"/>
  <c r="AQ260"/>
  <c r="AJ256"/>
  <c r="AQ256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62"/>
  <c r="AC262"/>
  <c r="V260"/>
  <c r="AC260"/>
  <c r="V258"/>
  <c r="AC258"/>
  <c r="V256"/>
  <c r="AC256"/>
  <c r="V254"/>
  <c r="AC25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63"/>
  <c r="V263"/>
  <c r="AC261"/>
  <c r="V261"/>
  <c r="AC259"/>
  <c r="V259"/>
  <c r="AC257"/>
  <c r="V257"/>
  <c r="AC255"/>
  <c r="V255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262"/>
  <c r="G4"/>
  <c r="C11" s="1"/>
  <c r="W4" s="1"/>
  <c r="N4" s="1"/>
  <c r="G260"/>
  <c r="G258"/>
  <c r="G256"/>
  <c r="G254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G166"/>
  <c r="G164"/>
  <c r="G162"/>
  <c r="G160"/>
  <c r="G158"/>
  <c r="G156"/>
  <c r="G154"/>
  <c r="G152"/>
  <c r="G150"/>
  <c r="G148"/>
  <c r="G146"/>
  <c r="G144"/>
  <c r="G142"/>
  <c r="G140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263"/>
  <c r="G261"/>
  <c r="G259"/>
  <c r="G257"/>
  <c r="G255"/>
  <c r="G253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3"/>
  <c r="G111"/>
  <c r="G109"/>
  <c r="G107"/>
  <c r="G105"/>
  <c r="G103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9"/>
  <c r="AN259" s="1"/>
  <c r="H253"/>
  <c r="AN253" s="1"/>
  <c r="H249"/>
  <c r="AN249" s="1"/>
  <c r="H243"/>
  <c r="AN243" s="1"/>
  <c r="H239"/>
  <c r="AN239" s="1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63"/>
  <c r="AN263" s="1"/>
  <c r="H261"/>
  <c r="AN261" s="1"/>
  <c r="H257"/>
  <c r="AN257" s="1"/>
  <c r="H255"/>
  <c r="AN255" s="1"/>
  <c r="H251"/>
  <c r="AN251" s="1"/>
  <c r="H247"/>
  <c r="AN247" s="1"/>
  <c r="H245"/>
  <c r="AN245" s="1"/>
  <c r="H241"/>
  <c r="AN241" s="1"/>
  <c r="H237"/>
  <c r="AN237" s="1"/>
  <c r="H262"/>
  <c r="AN262" s="1"/>
  <c r="H260"/>
  <c r="AN260" s="1"/>
  <c r="H258"/>
  <c r="AN258" s="1"/>
  <c r="H256"/>
  <c r="AN256" s="1"/>
  <c r="H254"/>
  <c r="AN254" s="1"/>
  <c r="H252"/>
  <c r="AN252" s="1"/>
  <c r="H250"/>
  <c r="AN250" s="1"/>
  <c r="H248"/>
  <c r="AN248" s="1"/>
  <c r="H246"/>
  <c r="AN246" s="1"/>
  <c r="H244"/>
  <c r="AN244" s="1"/>
  <c r="H242"/>
  <c r="AN242" s="1"/>
  <c r="H240"/>
  <c r="AN240" s="1"/>
  <c r="H238"/>
  <c r="AN238" s="1"/>
  <c r="H236"/>
  <c r="AN236" s="1"/>
  <c r="H234"/>
  <c r="AN234" s="1"/>
  <c r="H232"/>
  <c r="AN232" s="1"/>
  <c r="H230"/>
  <c r="AN230" s="1"/>
  <c r="H228"/>
  <c r="AN228" s="1"/>
  <c r="H226"/>
  <c r="AN226" s="1"/>
  <c r="H224"/>
  <c r="AN224" s="1"/>
  <c r="H222"/>
  <c r="AN222" s="1"/>
  <c r="H220"/>
  <c r="AN220" s="1"/>
  <c r="H218"/>
  <c r="AN218" s="1"/>
  <c r="H216"/>
  <c r="AN216" s="1"/>
  <c r="H214"/>
  <c r="AN214" s="1"/>
  <c r="H212"/>
  <c r="AN212" s="1"/>
  <c r="H210"/>
  <c r="AN210" s="1"/>
  <c r="H208"/>
  <c r="AN208" s="1"/>
  <c r="H206"/>
  <c r="AN206" s="1"/>
  <c r="H204"/>
  <c r="AN204" s="1"/>
  <c r="H202"/>
  <c r="AN202" s="1"/>
  <c r="H200"/>
  <c r="AN200" s="1"/>
  <c r="H198"/>
  <c r="AN198" s="1"/>
  <c r="H196"/>
  <c r="AN196" s="1"/>
  <c r="H194"/>
  <c r="AN194" s="1"/>
  <c r="H192"/>
  <c r="AN192" s="1"/>
  <c r="H190"/>
  <c r="AN190" s="1"/>
  <c r="H188"/>
  <c r="AN188" s="1"/>
  <c r="H186"/>
  <c r="AN186" s="1"/>
  <c r="H184"/>
  <c r="AN184" s="1"/>
  <c r="H182"/>
  <c r="AN182" s="1"/>
  <c r="H180"/>
  <c r="AN180" s="1"/>
  <c r="H178"/>
  <c r="AN178" s="1"/>
  <c r="H176"/>
  <c r="AN176" s="1"/>
  <c r="H174"/>
  <c r="AN174" s="1"/>
  <c r="H172"/>
  <c r="AN172" s="1"/>
  <c r="H170"/>
  <c r="AN170" s="1"/>
  <c r="H168"/>
  <c r="AN168" s="1"/>
  <c r="H166"/>
  <c r="AN166" s="1"/>
  <c r="H164"/>
  <c r="AN164" s="1"/>
  <c r="H162"/>
  <c r="AN162" s="1"/>
  <c r="H160"/>
  <c r="AN160" s="1"/>
  <c r="H158"/>
  <c r="AN158" s="1"/>
  <c r="H156"/>
  <c r="AN156" s="1"/>
  <c r="H154"/>
  <c r="AN154" s="1"/>
  <c r="H152"/>
  <c r="AN152" s="1"/>
  <c r="H150"/>
  <c r="AN150" s="1"/>
  <c r="H148"/>
  <c r="AN148" s="1"/>
  <c r="H146"/>
  <c r="AN146" s="1"/>
  <c r="H144"/>
  <c r="AN144" s="1"/>
  <c r="H142"/>
  <c r="AN142" s="1"/>
  <c r="H140"/>
  <c r="AN140" s="1"/>
  <c r="H138"/>
  <c r="AN138" s="1"/>
  <c r="H136"/>
  <c r="AN136" s="1"/>
  <c r="H134"/>
  <c r="AN134" s="1"/>
  <c r="H132"/>
  <c r="AN132" s="1"/>
  <c r="H130"/>
  <c r="AN130" s="1"/>
  <c r="H128"/>
  <c r="AN128" s="1"/>
  <c r="H126"/>
  <c r="AN126" s="1"/>
  <c r="H124"/>
  <c r="AN124" s="1"/>
  <c r="H122"/>
  <c r="AN122" s="1"/>
  <c r="H120"/>
  <c r="AN120" s="1"/>
  <c r="H118"/>
  <c r="AN118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C12" l="1"/>
  <c r="C13"/>
  <c r="C17" s="1"/>
  <c r="C5"/>
  <c r="C14"/>
  <c r="AL4"/>
  <c r="AS4"/>
  <c r="AE4"/>
  <c r="X4"/>
  <c r="M4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60"/>
  <c r="AO245"/>
  <c r="AO257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25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58"/>
  <c r="AP258" s="1"/>
  <c r="AO241"/>
  <c r="AO255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56"/>
  <c r="AO237"/>
  <c r="AO251"/>
  <c r="AO263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54"/>
  <c r="AO262"/>
  <c r="AP262" s="1"/>
  <c r="AO247"/>
  <c r="AO261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G256"/>
  <c r="AH256"/>
  <c r="AG260"/>
  <c r="AH260"/>
  <c r="AH237"/>
  <c r="AG237"/>
  <c r="AH245"/>
  <c r="AG245"/>
  <c r="AH251"/>
  <c r="AG251"/>
  <c r="AH257"/>
  <c r="AG257"/>
  <c r="AH263"/>
  <c r="AG263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259"/>
  <c r="AG25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G254"/>
  <c r="AH254"/>
  <c r="AG258"/>
  <c r="AH258"/>
  <c r="AG262"/>
  <c r="AH262"/>
  <c r="AH241"/>
  <c r="AG241"/>
  <c r="AH247"/>
  <c r="AG247"/>
  <c r="AH255"/>
  <c r="AG255"/>
  <c r="AH261"/>
  <c r="AG261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56"/>
  <c r="T256"/>
  <c r="Z256"/>
  <c r="S256"/>
  <c r="AA260"/>
  <c r="T260"/>
  <c r="Z260"/>
  <c r="S260"/>
  <c r="AA237"/>
  <c r="T237"/>
  <c r="Z237"/>
  <c r="S237"/>
  <c r="AA245"/>
  <c r="T245"/>
  <c r="Z245"/>
  <c r="S245"/>
  <c r="AA251"/>
  <c r="T251"/>
  <c r="Z251"/>
  <c r="S251"/>
  <c r="AA257"/>
  <c r="T257"/>
  <c r="Z257"/>
  <c r="S257"/>
  <c r="AA263"/>
  <c r="T263"/>
  <c r="Z263"/>
  <c r="S263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259"/>
  <c r="T259"/>
  <c r="Z259"/>
  <c r="S25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54"/>
  <c r="T254"/>
  <c r="Z254"/>
  <c r="S254"/>
  <c r="AA258"/>
  <c r="T258"/>
  <c r="Z258"/>
  <c r="S258"/>
  <c r="AA262"/>
  <c r="T262"/>
  <c r="Z262"/>
  <c r="S262"/>
  <c r="AA241"/>
  <c r="T241"/>
  <c r="Z241"/>
  <c r="S241"/>
  <c r="AA247"/>
  <c r="T247"/>
  <c r="Z247"/>
  <c r="S247"/>
  <c r="AA255"/>
  <c r="T255"/>
  <c r="Z255"/>
  <c r="S255"/>
  <c r="AA261"/>
  <c r="T261"/>
  <c r="Z261"/>
  <c r="S261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I245" l="1"/>
  <c r="AI235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257"/>
  <c r="AI116"/>
  <c r="AI106"/>
  <c r="AI98"/>
  <c r="AI118"/>
  <c r="AI100"/>
  <c r="AI255"/>
  <c r="AI259"/>
  <c r="AI253"/>
  <c r="AI171"/>
  <c r="AP166"/>
  <c r="AI173"/>
  <c r="U72"/>
  <c r="U124"/>
  <c r="U182"/>
  <c r="AB182" s="1"/>
  <c r="U262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61"/>
  <c r="U254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U89"/>
  <c r="U41"/>
  <c r="U25"/>
  <c r="U17"/>
  <c r="AB17" s="1"/>
  <c r="U257"/>
  <c r="U260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55"/>
  <c r="U241"/>
  <c r="U250"/>
  <c r="U226"/>
  <c r="U194"/>
  <c r="U178"/>
  <c r="U170"/>
  <c r="U154"/>
  <c r="U138"/>
  <c r="U130"/>
  <c r="U122"/>
  <c r="U104"/>
  <c r="U70"/>
  <c r="U62"/>
  <c r="U16"/>
  <c r="U169"/>
  <c r="U153"/>
  <c r="U145"/>
  <c r="U121"/>
  <c r="U113"/>
  <c r="U69"/>
  <c r="U61"/>
  <c r="U53"/>
  <c r="U37"/>
  <c r="U29"/>
  <c r="U21"/>
  <c r="U263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263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58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P153"/>
  <c r="AP137"/>
  <c r="AP121"/>
  <c r="AP103"/>
  <c r="AP85"/>
  <c r="AP69"/>
  <c r="AP53"/>
  <c r="AP37"/>
  <c r="AP21"/>
  <c r="AP263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B175"/>
  <c r="AB254"/>
  <c r="AB179"/>
  <c r="AB142"/>
  <c r="AB26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59"/>
  <c r="AB259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56"/>
  <c r="AB256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63"/>
  <c r="AI251"/>
  <c r="AI237"/>
  <c r="AI112"/>
  <c r="AI102"/>
  <c r="AI110"/>
  <c r="AP254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O4" s="1"/>
  <c r="P4" s="1"/>
  <c r="Q4" s="1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61"/>
  <c r="AI247"/>
  <c r="AP231"/>
  <c r="AP215"/>
  <c r="AP199"/>
  <c r="AP183"/>
  <c r="AP167"/>
  <c r="AP151"/>
  <c r="AP135"/>
  <c r="AP119"/>
  <c r="AP101"/>
  <c r="AP83"/>
  <c r="AP67"/>
  <c r="AP51"/>
  <c r="AP35"/>
  <c r="AP19"/>
  <c r="AP261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56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P255"/>
  <c r="AP96"/>
  <c r="AP44"/>
  <c r="AP8"/>
  <c r="AP259"/>
  <c r="AP229"/>
  <c r="AP213"/>
  <c r="AP197"/>
  <c r="AP181"/>
  <c r="AP165"/>
  <c r="AP149"/>
  <c r="AP133"/>
  <c r="AP117"/>
  <c r="AP99"/>
  <c r="AP81"/>
  <c r="AP65"/>
  <c r="AP49"/>
  <c r="AP33"/>
  <c r="AP17"/>
  <c r="AP257"/>
  <c r="AP260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62"/>
  <c r="AI258"/>
  <c r="AI254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60"/>
  <c r="AI256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55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61"/>
  <c r="AB258"/>
  <c r="AB239"/>
  <c r="AB229"/>
  <c r="AB223"/>
  <c r="AB199"/>
  <c r="AB195"/>
  <c r="AB191"/>
  <c r="AB181"/>
  <c r="AB178"/>
  <c r="AB169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260"/>
  <c r="AB257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X5" s="1"/>
  <c r="M5" s="1"/>
  <c r="U28"/>
  <c r="AB28" s="1"/>
  <c r="U48"/>
  <c r="AB48" s="1"/>
  <c r="AS7" l="1"/>
  <c r="AS8" s="1"/>
  <c r="AS9" s="1"/>
  <c r="AS10" s="1"/>
  <c r="AS11" s="1"/>
  <c r="AS12" s="1"/>
  <c r="AS13" s="1"/>
  <c r="AS14" s="1"/>
  <c r="AS15" s="1"/>
  <c r="AS16" s="1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S117" s="1"/>
  <c r="AS118" s="1"/>
  <c r="AS119" s="1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AS140" s="1"/>
  <c r="AS141" s="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AS168" s="1"/>
  <c r="AS169" s="1"/>
  <c r="AS170" s="1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S254" s="1"/>
  <c r="AS255" s="1"/>
  <c r="AS256" s="1"/>
  <c r="AS257" s="1"/>
  <c r="AS258" s="1"/>
  <c r="AS259" s="1"/>
  <c r="AS260" s="1"/>
  <c r="AS261" s="1"/>
  <c r="AS262" s="1"/>
  <c r="AS263" s="1"/>
  <c r="AL6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L117" s="1"/>
  <c r="AL118" s="1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L140" s="1"/>
  <c r="AL141" s="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AL168" s="1"/>
  <c r="AL169" s="1"/>
  <c r="AL170" s="1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AL254" s="1"/>
  <c r="AL255" s="1"/>
  <c r="AL256" s="1"/>
  <c r="AL257" s="1"/>
  <c r="AL258" s="1"/>
  <c r="AL259" s="1"/>
  <c r="AL260" s="1"/>
  <c r="AL261" s="1"/>
  <c r="AL262" s="1"/>
  <c r="AL263" s="1"/>
  <c r="X6"/>
  <c r="M6" s="1"/>
  <c r="AK5"/>
  <c r="AK4"/>
  <c r="AB5"/>
  <c r="AE5" s="1"/>
  <c r="AE6" s="1"/>
  <c r="AE7" s="1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E117" s="1"/>
  <c r="AE118" s="1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E140" s="1"/>
  <c r="AE141" s="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E168" s="1"/>
  <c r="AE169" s="1"/>
  <c r="AE170" s="1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AE187" s="1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AE254" s="1"/>
  <c r="AE255" s="1"/>
  <c r="AE256" s="1"/>
  <c r="AE257" s="1"/>
  <c r="AE258" s="1"/>
  <c r="AE259" s="1"/>
  <c r="AE260" s="1"/>
  <c r="AE261" s="1"/>
  <c r="AE262" s="1"/>
  <c r="AE263" s="1"/>
  <c r="X7" l="1"/>
  <c r="M7" s="1"/>
  <c r="AD5"/>
  <c r="O5" s="1"/>
  <c r="P5" s="1"/>
  <c r="Q5" s="1"/>
  <c r="AR5"/>
  <c r="X8" l="1"/>
  <c r="M8" s="1"/>
  <c r="AD6"/>
  <c r="O6" s="1"/>
  <c r="P6" s="1"/>
  <c r="Q6" s="1"/>
  <c r="AK6"/>
  <c r="AR6"/>
  <c r="X9" l="1"/>
  <c r="M9" s="1"/>
  <c r="AD7"/>
  <c r="O7" s="1"/>
  <c r="P7" s="1"/>
  <c r="Q7" s="1"/>
  <c r="AR7"/>
  <c r="AK7"/>
  <c r="X10" l="1"/>
  <c r="M10" s="1"/>
  <c r="AD8"/>
  <c r="O8" s="1"/>
  <c r="P8" s="1"/>
  <c r="Q8" s="1"/>
  <c r="AR8"/>
  <c r="AK8"/>
  <c r="X11" l="1"/>
  <c r="M11" s="1"/>
  <c r="AR9"/>
  <c r="AD9"/>
  <c r="O9" s="1"/>
  <c r="P9" s="1"/>
  <c r="Q9" s="1"/>
  <c r="AK9"/>
  <c r="X12" l="1"/>
  <c r="M12" s="1"/>
  <c r="AD10"/>
  <c r="O10" s="1"/>
  <c r="P10" s="1"/>
  <c r="Q10" s="1"/>
  <c r="AR10"/>
  <c r="AK10"/>
  <c r="X13" l="1"/>
  <c r="M13" s="1"/>
  <c r="AD11"/>
  <c r="O11" s="1"/>
  <c r="P11" s="1"/>
  <c r="Q11" s="1"/>
  <c r="AK11"/>
  <c r="AR11"/>
  <c r="X14" l="1"/>
  <c r="M14" s="1"/>
  <c r="AK12"/>
  <c r="AR12"/>
  <c r="AD12"/>
  <c r="O12" s="1"/>
  <c r="P12" s="1"/>
  <c r="Q12" s="1"/>
  <c r="X15" l="1"/>
  <c r="M15" s="1"/>
  <c r="AD13"/>
  <c r="O13" s="1"/>
  <c r="P13" s="1"/>
  <c r="Q13" s="1"/>
  <c r="AR13"/>
  <c r="AK13"/>
  <c r="X16" l="1"/>
  <c r="M16" s="1"/>
  <c r="AD14"/>
  <c r="O14" s="1"/>
  <c r="P14" s="1"/>
  <c r="Q14" s="1"/>
  <c r="AR14"/>
  <c r="AK14"/>
  <c r="X17" l="1"/>
  <c r="M17" s="1"/>
  <c r="AK15"/>
  <c r="AR15"/>
  <c r="AD15"/>
  <c r="O15" s="1"/>
  <c r="P15" s="1"/>
  <c r="Q15" s="1"/>
  <c r="X18" l="1"/>
  <c r="M18" s="1"/>
  <c r="AD16"/>
  <c r="O16" s="1"/>
  <c r="P16" s="1"/>
  <c r="Q16" s="1"/>
  <c r="AK16"/>
  <c r="AR16"/>
  <c r="X19" l="1"/>
  <c r="M19" s="1"/>
  <c r="AR17"/>
  <c r="AK17"/>
  <c r="AD17"/>
  <c r="O17" s="1"/>
  <c r="P17" s="1"/>
  <c r="Q17" s="1"/>
  <c r="X20" l="1"/>
  <c r="M20" s="1"/>
  <c r="AK18"/>
  <c r="AD18"/>
  <c r="O18" s="1"/>
  <c r="P18" s="1"/>
  <c r="Q18" s="1"/>
  <c r="AR18"/>
  <c r="X21" l="1"/>
  <c r="M21" s="1"/>
  <c r="AK19"/>
  <c r="AD19"/>
  <c r="O19" s="1"/>
  <c r="P19" s="1"/>
  <c r="Q19" s="1"/>
  <c r="AR19"/>
  <c r="X22" l="1"/>
  <c r="M22" s="1"/>
  <c r="AR20"/>
  <c r="AK20"/>
  <c r="AD20"/>
  <c r="O20" s="1"/>
  <c r="P20" s="1"/>
  <c r="Q20" s="1"/>
  <c r="X23" l="1"/>
  <c r="M23" s="1"/>
  <c r="AR21"/>
  <c r="AD21"/>
  <c r="O21" s="1"/>
  <c r="P21" s="1"/>
  <c r="Q21" s="1"/>
  <c r="AK21"/>
  <c r="X24" l="1"/>
  <c r="M24" s="1"/>
  <c r="AD22"/>
  <c r="O22" s="1"/>
  <c r="P22" s="1"/>
  <c r="Q22" s="1"/>
  <c r="AR22"/>
  <c r="AK22"/>
  <c r="X25" l="1"/>
  <c r="M25" s="1"/>
  <c r="AR23"/>
  <c r="AD23"/>
  <c r="O23" s="1"/>
  <c r="P23" s="1"/>
  <c r="Q23" s="1"/>
  <c r="AK23"/>
  <c r="X26" l="1"/>
  <c r="M26" s="1"/>
  <c r="AD24"/>
  <c r="O24" s="1"/>
  <c r="P24" s="1"/>
  <c r="Q24" s="1"/>
  <c r="AR24"/>
  <c r="AK24"/>
  <c r="X27" l="1"/>
  <c r="M27" s="1"/>
  <c r="AK25"/>
  <c r="AD25"/>
  <c r="O25" s="1"/>
  <c r="P25" s="1"/>
  <c r="Q25" s="1"/>
  <c r="AR25"/>
  <c r="X28" l="1"/>
  <c r="M28" s="1"/>
  <c r="AD26"/>
  <c r="O26" s="1"/>
  <c r="P26" s="1"/>
  <c r="Q26" s="1"/>
  <c r="AK26"/>
  <c r="AR26"/>
  <c r="X29" l="1"/>
  <c r="M29" s="1"/>
  <c r="W28"/>
  <c r="N28" s="1"/>
  <c r="AD27"/>
  <c r="O27" s="1"/>
  <c r="P27" s="1"/>
  <c r="Q27" s="1"/>
  <c r="AK27"/>
  <c r="AR27"/>
  <c r="X30" l="1"/>
  <c r="M30" s="1"/>
  <c r="AK28"/>
  <c r="AR28"/>
  <c r="AD28"/>
  <c r="O28" s="1"/>
  <c r="P28" s="1"/>
  <c r="Q28" s="1"/>
  <c r="X31" l="1"/>
  <c r="M31" s="1"/>
  <c r="AR29"/>
  <c r="AD29"/>
  <c r="O29" s="1"/>
  <c r="P29" s="1"/>
  <c r="Q29" s="1"/>
  <c r="AK29"/>
  <c r="X32" l="1"/>
  <c r="M32" s="1"/>
  <c r="AD30"/>
  <c r="O30" s="1"/>
  <c r="P30" s="1"/>
  <c r="Q30" s="1"/>
  <c r="AK30"/>
  <c r="AR30"/>
  <c r="X33" l="1"/>
  <c r="M33" s="1"/>
  <c r="AD31"/>
  <c r="O31" s="1"/>
  <c r="P31" s="1"/>
  <c r="Q31" s="1"/>
  <c r="AK31"/>
  <c r="AR31"/>
  <c r="X34" l="1"/>
  <c r="M34" s="1"/>
  <c r="AK32"/>
  <c r="AR32"/>
  <c r="AD32"/>
  <c r="O32" s="1"/>
  <c r="P32" s="1"/>
  <c r="Q32" s="1"/>
  <c r="X35" l="1"/>
  <c r="M35" s="1"/>
  <c r="AR33"/>
  <c r="AD33"/>
  <c r="O33" s="1"/>
  <c r="P33" s="1"/>
  <c r="Q33" s="1"/>
  <c r="AK33"/>
  <c r="X36" l="1"/>
  <c r="M36" s="1"/>
  <c r="AD34"/>
  <c r="O34" s="1"/>
  <c r="P34" s="1"/>
  <c r="Q34" s="1"/>
  <c r="AR34"/>
  <c r="AK34"/>
  <c r="X37" l="1"/>
  <c r="M37" s="1"/>
  <c r="AD35"/>
  <c r="O35" s="1"/>
  <c r="P35" s="1"/>
  <c r="Q35" s="1"/>
  <c r="AR35"/>
  <c r="AK35"/>
  <c r="X38" l="1"/>
  <c r="M38" s="1"/>
  <c r="AD36"/>
  <c r="O36" s="1"/>
  <c r="P36" s="1"/>
  <c r="Q36" s="1"/>
  <c r="AR36"/>
  <c r="AK36"/>
  <c r="X39" l="1"/>
  <c r="M39" s="1"/>
  <c r="AD37"/>
  <c r="O37" s="1"/>
  <c r="P37" s="1"/>
  <c r="Q37" s="1"/>
  <c r="AR37"/>
  <c r="AK37"/>
  <c r="X40" l="1"/>
  <c r="M40" s="1"/>
  <c r="AD38"/>
  <c r="O38" s="1"/>
  <c r="P38" s="1"/>
  <c r="Q38" s="1"/>
  <c r="AR38"/>
  <c r="AK38"/>
  <c r="X41" l="1"/>
  <c r="M41" s="1"/>
  <c r="AD39"/>
  <c r="O39" s="1"/>
  <c r="P39" s="1"/>
  <c r="Q39" s="1"/>
  <c r="AR39"/>
  <c r="AK39"/>
  <c r="X42" l="1"/>
  <c r="M42" s="1"/>
  <c r="AD40"/>
  <c r="O40" s="1"/>
  <c r="P40" s="1"/>
  <c r="Q40" s="1"/>
  <c r="AR40"/>
  <c r="AK40"/>
  <c r="X43" l="1"/>
  <c r="M43" s="1"/>
  <c r="AD41"/>
  <c r="O41" s="1"/>
  <c r="P41" s="1"/>
  <c r="Q41" s="1"/>
  <c r="AR41"/>
  <c r="AK41"/>
  <c r="X44" l="1"/>
  <c r="M44" s="1"/>
  <c r="AR42"/>
  <c r="AD42"/>
  <c r="O42" s="1"/>
  <c r="P42" s="1"/>
  <c r="Q42" s="1"/>
  <c r="AK42"/>
  <c r="X45" l="1"/>
  <c r="M45" s="1"/>
  <c r="AR43"/>
  <c r="AD43"/>
  <c r="O43" s="1"/>
  <c r="P43" s="1"/>
  <c r="Q43" s="1"/>
  <c r="AK43"/>
  <c r="X46" l="1"/>
  <c r="M46" s="1"/>
  <c r="AD44"/>
  <c r="O44" s="1"/>
  <c r="P44" s="1"/>
  <c r="Q44" s="1"/>
  <c r="AR44"/>
  <c r="AK44"/>
  <c r="X47" l="1"/>
  <c r="M47" s="1"/>
  <c r="AR45"/>
  <c r="AD45"/>
  <c r="O45" s="1"/>
  <c r="P45" s="1"/>
  <c r="Q45" s="1"/>
  <c r="AK45"/>
  <c r="X48" l="1"/>
  <c r="M48" s="1"/>
  <c r="AR46"/>
  <c r="AD46"/>
  <c r="O46" s="1"/>
  <c r="P46" s="1"/>
  <c r="Q46" s="1"/>
  <c r="AK46"/>
  <c r="X49" l="1"/>
  <c r="M49" s="1"/>
  <c r="AD47"/>
  <c r="O47" s="1"/>
  <c r="P47" s="1"/>
  <c r="Q47" s="1"/>
  <c r="AR47"/>
  <c r="AK47"/>
  <c r="X50" l="1"/>
  <c r="M50" s="1"/>
  <c r="AR48"/>
  <c r="AD48"/>
  <c r="O48" s="1"/>
  <c r="P48" s="1"/>
  <c r="Q48" s="1"/>
  <c r="AK48"/>
  <c r="X51" l="1"/>
  <c r="M51" s="1"/>
  <c r="AR49"/>
  <c r="AD49"/>
  <c r="O49" s="1"/>
  <c r="P49" s="1"/>
  <c r="Q49" s="1"/>
  <c r="AK49"/>
  <c r="X52" l="1"/>
  <c r="M52" s="1"/>
  <c r="AD50"/>
  <c r="O50" s="1"/>
  <c r="P50" s="1"/>
  <c r="Q50" s="1"/>
  <c r="AR50"/>
  <c r="AK50"/>
  <c r="X53" l="1"/>
  <c r="M53" s="1"/>
  <c r="AR51"/>
  <c r="AD51"/>
  <c r="O51" s="1"/>
  <c r="P51" s="1"/>
  <c r="Q51" s="1"/>
  <c r="AK51"/>
  <c r="X54" l="1"/>
  <c r="M54" s="1"/>
  <c r="AR52"/>
  <c r="AD52"/>
  <c r="O52" s="1"/>
  <c r="P52" s="1"/>
  <c r="Q52" s="1"/>
  <c r="AK52"/>
  <c r="X55" l="1"/>
  <c r="M55" s="1"/>
  <c r="AD53"/>
  <c r="O53" s="1"/>
  <c r="P53" s="1"/>
  <c r="Q53" s="1"/>
  <c r="AR53"/>
  <c r="AK53"/>
  <c r="X56" l="1"/>
  <c r="M56" s="1"/>
  <c r="AR54"/>
  <c r="AD54"/>
  <c r="O54" s="1"/>
  <c r="P54" s="1"/>
  <c r="Q54" s="1"/>
  <c r="AK54"/>
  <c r="X57" l="1"/>
  <c r="M57" s="1"/>
  <c r="AR55"/>
  <c r="AD55"/>
  <c r="O55" s="1"/>
  <c r="P55" s="1"/>
  <c r="Q55" s="1"/>
  <c r="AK55"/>
  <c r="X58" l="1"/>
  <c r="M58" s="1"/>
  <c r="AD56"/>
  <c r="O56" s="1"/>
  <c r="P56" s="1"/>
  <c r="Q56" s="1"/>
  <c r="AR56"/>
  <c r="AK56"/>
  <c r="X59" l="1"/>
  <c r="M59" s="1"/>
  <c r="AR57"/>
  <c r="AD57"/>
  <c r="O57" s="1"/>
  <c r="P57" s="1"/>
  <c r="Q57" s="1"/>
  <c r="AK57"/>
  <c r="X60" l="1"/>
  <c r="M60" s="1"/>
  <c r="AR58"/>
  <c r="AD58"/>
  <c r="O58" s="1"/>
  <c r="P58" s="1"/>
  <c r="Q58" s="1"/>
  <c r="AK58"/>
  <c r="X61" l="1"/>
  <c r="M61" s="1"/>
  <c r="AD59"/>
  <c r="O59" s="1"/>
  <c r="P59" s="1"/>
  <c r="Q59" s="1"/>
  <c r="AR59"/>
  <c r="AK59"/>
  <c r="X62" l="1"/>
  <c r="M62" s="1"/>
  <c r="AR60"/>
  <c r="AD60"/>
  <c r="O60" s="1"/>
  <c r="P60" s="1"/>
  <c r="Q60" s="1"/>
  <c r="AK60"/>
  <c r="X63" l="1"/>
  <c r="M63" s="1"/>
  <c r="AR61"/>
  <c r="AD61"/>
  <c r="O61" s="1"/>
  <c r="P61" s="1"/>
  <c r="Q61" s="1"/>
  <c r="AK61"/>
  <c r="X64" l="1"/>
  <c r="M64" s="1"/>
  <c r="AD62"/>
  <c r="O62" s="1"/>
  <c r="P62" s="1"/>
  <c r="Q62" s="1"/>
  <c r="AR62"/>
  <c r="AK62"/>
  <c r="X65" l="1"/>
  <c r="M65" s="1"/>
  <c r="AR63"/>
  <c r="AD63"/>
  <c r="O63" s="1"/>
  <c r="P63" s="1"/>
  <c r="Q63" s="1"/>
  <c r="AK63"/>
  <c r="X66" l="1"/>
  <c r="M66" s="1"/>
  <c r="AR64"/>
  <c r="AD64"/>
  <c r="O64" s="1"/>
  <c r="P64" s="1"/>
  <c r="Q64" s="1"/>
  <c r="AK64"/>
  <c r="X67" l="1"/>
  <c r="M67" s="1"/>
  <c r="AD65"/>
  <c r="O65" s="1"/>
  <c r="P65" s="1"/>
  <c r="Q65" s="1"/>
  <c r="AR65"/>
  <c r="AK65"/>
  <c r="X68" l="1"/>
  <c r="M68" s="1"/>
  <c r="AR66"/>
  <c r="AD66"/>
  <c r="O66" s="1"/>
  <c r="P66" s="1"/>
  <c r="Q66" s="1"/>
  <c r="AK66"/>
  <c r="X69" l="1"/>
  <c r="M69" s="1"/>
  <c r="AR67"/>
  <c r="AD67"/>
  <c r="O67" s="1"/>
  <c r="P67" s="1"/>
  <c r="Q67" s="1"/>
  <c r="AK67"/>
  <c r="X70" l="1"/>
  <c r="M70" s="1"/>
  <c r="AD68"/>
  <c r="O68" s="1"/>
  <c r="P68" s="1"/>
  <c r="Q68" s="1"/>
  <c r="AR68"/>
  <c r="AK68"/>
  <c r="X71" l="1"/>
  <c r="M71" s="1"/>
  <c r="AR69"/>
  <c r="AD69"/>
  <c r="O69" s="1"/>
  <c r="P69" s="1"/>
  <c r="Q69" s="1"/>
  <c r="AK69"/>
  <c r="X72" l="1"/>
  <c r="M72" s="1"/>
  <c r="AD70"/>
  <c r="O70" s="1"/>
  <c r="P70" s="1"/>
  <c r="Q70" s="1"/>
  <c r="AR70"/>
  <c r="AK70"/>
  <c r="X73" l="1"/>
  <c r="M73" s="1"/>
  <c r="AD71"/>
  <c r="O71" s="1"/>
  <c r="P71" s="1"/>
  <c r="Q71" s="1"/>
  <c r="AR71"/>
  <c r="AK71"/>
  <c r="X74" l="1"/>
  <c r="M74" s="1"/>
  <c r="AR72"/>
  <c r="AK72"/>
  <c r="AD72"/>
  <c r="O72" s="1"/>
  <c r="P72" s="1"/>
  <c r="Q72" s="1"/>
  <c r="X75" l="1"/>
  <c r="M75" s="1"/>
  <c r="AD73"/>
  <c r="O73" s="1"/>
  <c r="P73" s="1"/>
  <c r="Q73" s="1"/>
  <c r="AK73"/>
  <c r="AR73"/>
  <c r="X76" l="1"/>
  <c r="M76" s="1"/>
  <c r="AD74"/>
  <c r="O74" s="1"/>
  <c r="P74" s="1"/>
  <c r="Q74" s="1"/>
  <c r="AR74"/>
  <c r="AK74"/>
  <c r="X77" l="1"/>
  <c r="M77" s="1"/>
  <c r="AR75"/>
  <c r="AK75"/>
  <c r="AD75"/>
  <c r="O75" s="1"/>
  <c r="P75" s="1"/>
  <c r="Q75" s="1"/>
  <c r="X78" l="1"/>
  <c r="M78" s="1"/>
  <c r="AD76"/>
  <c r="O76" s="1"/>
  <c r="P76" s="1"/>
  <c r="Q76" s="1"/>
  <c r="AK76"/>
  <c r="AR76"/>
  <c r="X79" l="1"/>
  <c r="M79" s="1"/>
  <c r="AR77"/>
  <c r="AD77"/>
  <c r="O77" s="1"/>
  <c r="P77" s="1"/>
  <c r="Q77" s="1"/>
  <c r="AK77"/>
  <c r="X80" l="1"/>
  <c r="M80" s="1"/>
  <c r="AD78"/>
  <c r="O78" s="1"/>
  <c r="P78" s="1"/>
  <c r="Q78" s="1"/>
  <c r="AR78"/>
  <c r="AK78"/>
  <c r="X81" l="1"/>
  <c r="M81" s="1"/>
  <c r="AR79"/>
  <c r="AD79"/>
  <c r="O79" s="1"/>
  <c r="P79" s="1"/>
  <c r="Q79" s="1"/>
  <c r="AK79"/>
  <c r="X82" l="1"/>
  <c r="M82" s="1"/>
  <c r="AR80"/>
  <c r="AD80"/>
  <c r="O80" s="1"/>
  <c r="P80" s="1"/>
  <c r="Q80" s="1"/>
  <c r="AK80"/>
  <c r="X83" l="1"/>
  <c r="M83" s="1"/>
  <c r="AD81"/>
  <c r="O81" s="1"/>
  <c r="P81" s="1"/>
  <c r="Q81" s="1"/>
  <c r="AR81"/>
  <c r="AK81"/>
  <c r="X84" l="1"/>
  <c r="M84" s="1"/>
  <c r="AR82"/>
  <c r="AD82"/>
  <c r="O82" s="1"/>
  <c r="P82" s="1"/>
  <c r="Q82" s="1"/>
  <c r="AK82"/>
  <c r="X85" l="1"/>
  <c r="M85" s="1"/>
  <c r="AR83"/>
  <c r="AD83"/>
  <c r="O83" s="1"/>
  <c r="P83" s="1"/>
  <c r="Q83" s="1"/>
  <c r="AK83"/>
  <c r="X86" l="1"/>
  <c r="M86" s="1"/>
  <c r="AD84"/>
  <c r="O84" s="1"/>
  <c r="P84" s="1"/>
  <c r="Q84" s="1"/>
  <c r="AR84"/>
  <c r="AK84"/>
  <c r="X87" l="1"/>
  <c r="M87" s="1"/>
  <c r="AR85"/>
  <c r="AD85"/>
  <c r="O85" s="1"/>
  <c r="P85" s="1"/>
  <c r="Q85" s="1"/>
  <c r="AK85"/>
  <c r="X88" l="1"/>
  <c r="M88" s="1"/>
  <c r="AR86"/>
  <c r="AK86"/>
  <c r="AD86"/>
  <c r="O86" s="1"/>
  <c r="P86" s="1"/>
  <c r="Q86" s="1"/>
  <c r="X89" l="1"/>
  <c r="M89" s="1"/>
  <c r="AR87"/>
  <c r="AK87"/>
  <c r="AD87"/>
  <c r="O87" s="1"/>
  <c r="P87" s="1"/>
  <c r="Q87" s="1"/>
  <c r="X90" l="1"/>
  <c r="M90" s="1"/>
  <c r="AK88"/>
  <c r="AR88"/>
  <c r="AD88"/>
  <c r="O88" s="1"/>
  <c r="P88" s="1"/>
  <c r="Q88" s="1"/>
  <c r="X91" l="1"/>
  <c r="M91" s="1"/>
  <c r="AR89"/>
  <c r="AK89"/>
  <c r="AD89"/>
  <c r="O89" s="1"/>
  <c r="P89" s="1"/>
  <c r="Q89" s="1"/>
  <c r="X92" l="1"/>
  <c r="M92" s="1"/>
  <c r="AR90"/>
  <c r="AK90"/>
  <c r="AD90"/>
  <c r="O90" s="1"/>
  <c r="P90" s="1"/>
  <c r="Q90" s="1"/>
  <c r="X93" l="1"/>
  <c r="M93" s="1"/>
  <c r="AK91"/>
  <c r="AR91"/>
  <c r="AD91"/>
  <c r="O91" s="1"/>
  <c r="P91" s="1"/>
  <c r="Q91" s="1"/>
  <c r="X94" l="1"/>
  <c r="M94" s="1"/>
  <c r="AR92"/>
  <c r="AK92"/>
  <c r="AD92"/>
  <c r="O92" s="1"/>
  <c r="P92" s="1"/>
  <c r="Q92" s="1"/>
  <c r="X95" l="1"/>
  <c r="M95" s="1"/>
  <c r="AR93"/>
  <c r="AK93"/>
  <c r="AD93"/>
  <c r="O93" s="1"/>
  <c r="P93" s="1"/>
  <c r="Q93" s="1"/>
  <c r="X96" l="1"/>
  <c r="M96" s="1"/>
  <c r="AK94"/>
  <c r="AR94"/>
  <c r="AD94"/>
  <c r="O94" s="1"/>
  <c r="P94" s="1"/>
  <c r="Q94" s="1"/>
  <c r="X97" l="1"/>
  <c r="M97" s="1"/>
  <c r="AR95"/>
  <c r="AK95"/>
  <c r="AD95"/>
  <c r="O95" s="1"/>
  <c r="P95" s="1"/>
  <c r="Q95" s="1"/>
  <c r="X98" l="1"/>
  <c r="M98" s="1"/>
  <c r="AR96"/>
  <c r="AK96"/>
  <c r="AD96"/>
  <c r="O96" s="1"/>
  <c r="P96" s="1"/>
  <c r="Q96" s="1"/>
  <c r="X99" l="1"/>
  <c r="M99" s="1"/>
  <c r="AK97"/>
  <c r="AR97"/>
  <c r="AD97"/>
  <c r="O97" s="1"/>
  <c r="P97" s="1"/>
  <c r="Q97" s="1"/>
  <c r="X100" l="1"/>
  <c r="M100" s="1"/>
  <c r="AR98"/>
  <c r="AK98"/>
  <c r="AD98"/>
  <c r="O98" s="1"/>
  <c r="P98" s="1"/>
  <c r="Q98" s="1"/>
  <c r="X101" l="1"/>
  <c r="M101" s="1"/>
  <c r="AR99"/>
  <c r="AK99"/>
  <c r="AD99"/>
  <c r="O99" s="1"/>
  <c r="P99" s="1"/>
  <c r="Q99" s="1"/>
  <c r="X102" l="1"/>
  <c r="M102" s="1"/>
  <c r="AK100"/>
  <c r="AR100"/>
  <c r="AD100"/>
  <c r="O100" s="1"/>
  <c r="P100" s="1"/>
  <c r="Q100" s="1"/>
  <c r="X103" l="1"/>
  <c r="M103" s="1"/>
  <c r="AR101"/>
  <c r="AK101"/>
  <c r="AD101"/>
  <c r="O101" s="1"/>
  <c r="P101" s="1"/>
  <c r="Q101" s="1"/>
  <c r="X104" l="1"/>
  <c r="M104" s="1"/>
  <c r="AR102"/>
  <c r="AK102"/>
  <c r="AD102"/>
  <c r="O102" s="1"/>
  <c r="P102" s="1"/>
  <c r="Q102" s="1"/>
  <c r="X105" l="1"/>
  <c r="M105" s="1"/>
  <c r="AK103"/>
  <c r="AR103"/>
  <c r="AD103"/>
  <c r="O103" s="1"/>
  <c r="P103" s="1"/>
  <c r="Q103" s="1"/>
  <c r="X106" l="1"/>
  <c r="M106" s="1"/>
  <c r="AR104"/>
  <c r="AK104"/>
  <c r="AD104"/>
  <c r="O104" s="1"/>
  <c r="P104" s="1"/>
  <c r="Q104" s="1"/>
  <c r="X107" l="1"/>
  <c r="M107" s="1"/>
  <c r="AR105"/>
  <c r="AK105"/>
  <c r="AD105"/>
  <c r="O105" s="1"/>
  <c r="P105" s="1"/>
  <c r="Q105" s="1"/>
  <c r="X108" l="1"/>
  <c r="M108" s="1"/>
  <c r="AK106"/>
  <c r="AR106"/>
  <c r="AD106"/>
  <c r="O106" s="1"/>
  <c r="P106" s="1"/>
  <c r="Q106" s="1"/>
  <c r="X109" l="1"/>
  <c r="M109" s="1"/>
  <c r="AR107"/>
  <c r="AD107"/>
  <c r="O107" s="1"/>
  <c r="P107" s="1"/>
  <c r="Q107" s="1"/>
  <c r="AK107"/>
  <c r="X110" l="1"/>
  <c r="M110" s="1"/>
  <c r="AD108"/>
  <c r="O108" s="1"/>
  <c r="P108" s="1"/>
  <c r="Q108" s="1"/>
  <c r="AR108"/>
  <c r="AK108"/>
  <c r="X111" l="1"/>
  <c r="M111" s="1"/>
  <c r="AD109"/>
  <c r="O109" s="1"/>
  <c r="P109" s="1"/>
  <c r="Q109" s="1"/>
  <c r="AR109"/>
  <c r="AK109"/>
  <c r="X112" l="1"/>
  <c r="M112" s="1"/>
  <c r="AR110"/>
  <c r="AD110"/>
  <c r="O110" s="1"/>
  <c r="P110" s="1"/>
  <c r="Q110" s="1"/>
  <c r="AK110"/>
  <c r="X113" l="1"/>
  <c r="M113" s="1"/>
  <c r="AD111"/>
  <c r="O111" s="1"/>
  <c r="P111" s="1"/>
  <c r="Q111" s="1"/>
  <c r="AR111"/>
  <c r="AK111"/>
  <c r="X114" l="1"/>
  <c r="M114" s="1"/>
  <c r="AD112"/>
  <c r="O112" s="1"/>
  <c r="P112" s="1"/>
  <c r="Q112" s="1"/>
  <c r="AR112"/>
  <c r="AK112"/>
  <c r="X115" l="1"/>
  <c r="M115" s="1"/>
  <c r="AR113"/>
  <c r="AD113"/>
  <c r="O113" s="1"/>
  <c r="P113" s="1"/>
  <c r="Q113" s="1"/>
  <c r="AK113"/>
  <c r="X116" l="1"/>
  <c r="M116" s="1"/>
  <c r="AD114"/>
  <c r="O114" s="1"/>
  <c r="P114" s="1"/>
  <c r="Q114" s="1"/>
  <c r="AR114"/>
  <c r="AK114"/>
  <c r="X117" l="1"/>
  <c r="M117" s="1"/>
  <c r="AD115"/>
  <c r="O115" s="1"/>
  <c r="P115" s="1"/>
  <c r="Q115" s="1"/>
  <c r="AR115"/>
  <c r="AK115"/>
  <c r="X118" l="1"/>
  <c r="M118" s="1"/>
  <c r="AR116"/>
  <c r="AD116"/>
  <c r="O116" s="1"/>
  <c r="P116" s="1"/>
  <c r="Q116" s="1"/>
  <c r="AK116"/>
  <c r="X119" l="1"/>
  <c r="M119" s="1"/>
  <c r="AD117"/>
  <c r="O117" s="1"/>
  <c r="P117" s="1"/>
  <c r="Q117" s="1"/>
  <c r="AR117"/>
  <c r="AK117"/>
  <c r="X120" l="1"/>
  <c r="M120" s="1"/>
  <c r="AD118"/>
  <c r="O118" s="1"/>
  <c r="P118" s="1"/>
  <c r="Q118" s="1"/>
  <c r="AR118"/>
  <c r="AK118"/>
  <c r="X121" l="1"/>
  <c r="M121" s="1"/>
  <c r="AR119"/>
  <c r="AD119"/>
  <c r="O119" s="1"/>
  <c r="P119" s="1"/>
  <c r="Q119" s="1"/>
  <c r="AK119"/>
  <c r="X122" l="1"/>
  <c r="M122" s="1"/>
  <c r="AD120"/>
  <c r="O120" s="1"/>
  <c r="P120" s="1"/>
  <c r="Q120" s="1"/>
  <c r="AR120"/>
  <c r="AK120"/>
  <c r="X123" l="1"/>
  <c r="M123" s="1"/>
  <c r="AD121"/>
  <c r="O121" s="1"/>
  <c r="P121" s="1"/>
  <c r="Q121" s="1"/>
  <c r="AR121"/>
  <c r="AK121"/>
  <c r="X124" l="1"/>
  <c r="M124" s="1"/>
  <c r="AR122"/>
  <c r="AD122"/>
  <c r="O122" s="1"/>
  <c r="P122" s="1"/>
  <c r="Q122" s="1"/>
  <c r="AK122"/>
  <c r="X125" l="1"/>
  <c r="M125" s="1"/>
  <c r="AD123"/>
  <c r="O123" s="1"/>
  <c r="P123" s="1"/>
  <c r="Q123" s="1"/>
  <c r="AR123"/>
  <c r="AK123"/>
  <c r="X126" l="1"/>
  <c r="M126" s="1"/>
  <c r="AR124"/>
  <c r="AD124"/>
  <c r="O124" s="1"/>
  <c r="P124" s="1"/>
  <c r="Q124" s="1"/>
  <c r="AK124"/>
  <c r="X127" l="1"/>
  <c r="M127" s="1"/>
  <c r="AR125"/>
  <c r="AD125"/>
  <c r="O125" s="1"/>
  <c r="P125" s="1"/>
  <c r="Q125" s="1"/>
  <c r="AK125"/>
  <c r="X128" l="1"/>
  <c r="M128" s="1"/>
  <c r="AD126"/>
  <c r="O126" s="1"/>
  <c r="P126" s="1"/>
  <c r="Q126" s="1"/>
  <c r="AR126"/>
  <c r="AK126"/>
  <c r="X129" l="1"/>
  <c r="M129" s="1"/>
  <c r="AR127"/>
  <c r="AD127"/>
  <c r="O127" s="1"/>
  <c r="P127" s="1"/>
  <c r="Q127" s="1"/>
  <c r="AK127"/>
  <c r="X130" l="1"/>
  <c r="M130" s="1"/>
  <c r="AR128"/>
  <c r="AD128"/>
  <c r="O128" s="1"/>
  <c r="P128" s="1"/>
  <c r="Q128" s="1"/>
  <c r="AK128"/>
  <c r="X131" l="1"/>
  <c r="M131" s="1"/>
  <c r="AD129"/>
  <c r="O129" s="1"/>
  <c r="P129" s="1"/>
  <c r="Q129" s="1"/>
  <c r="AR129"/>
  <c r="AK129"/>
  <c r="X132" l="1"/>
  <c r="M132" s="1"/>
  <c r="AR130"/>
  <c r="AD130"/>
  <c r="O130" s="1"/>
  <c r="P130" s="1"/>
  <c r="Q130" s="1"/>
  <c r="AK130"/>
  <c r="X133" l="1"/>
  <c r="M133" s="1"/>
  <c r="AR131"/>
  <c r="AD131"/>
  <c r="O131" s="1"/>
  <c r="P131" s="1"/>
  <c r="Q131" s="1"/>
  <c r="AK131"/>
  <c r="X134" l="1"/>
  <c r="M134" s="1"/>
  <c r="AD132"/>
  <c r="O132" s="1"/>
  <c r="P132" s="1"/>
  <c r="Q132" s="1"/>
  <c r="AR132"/>
  <c r="AK132"/>
  <c r="X135" l="1"/>
  <c r="M135" s="1"/>
  <c r="AR133"/>
  <c r="AD133"/>
  <c r="O133" s="1"/>
  <c r="P133" s="1"/>
  <c r="Q133" s="1"/>
  <c r="AK133"/>
  <c r="X136" l="1"/>
  <c r="M136" s="1"/>
  <c r="AD134"/>
  <c r="O134" s="1"/>
  <c r="P134" s="1"/>
  <c r="Q134" s="1"/>
  <c r="AR134"/>
  <c r="AK134"/>
  <c r="X137" l="1"/>
  <c r="M137" s="1"/>
  <c r="AD135"/>
  <c r="O135" s="1"/>
  <c r="P135" s="1"/>
  <c r="Q135" s="1"/>
  <c r="AK135"/>
  <c r="AR135"/>
  <c r="X138" l="1"/>
  <c r="M138" s="1"/>
  <c r="AK136"/>
  <c r="AD136"/>
  <c r="O136" s="1"/>
  <c r="P136" s="1"/>
  <c r="Q136" s="1"/>
  <c r="AR136"/>
  <c r="X139" l="1"/>
  <c r="M139" s="1"/>
  <c r="AD137"/>
  <c r="O137" s="1"/>
  <c r="P137" s="1"/>
  <c r="Q137" s="1"/>
  <c r="AK137"/>
  <c r="AR137"/>
  <c r="X140" l="1"/>
  <c r="M140" s="1"/>
  <c r="AD138"/>
  <c r="O138" s="1"/>
  <c r="P138" s="1"/>
  <c r="Q138" s="1"/>
  <c r="AK138"/>
  <c r="AR138"/>
  <c r="X141" l="1"/>
  <c r="M141" s="1"/>
  <c r="AK139"/>
  <c r="AD139"/>
  <c r="O139" s="1"/>
  <c r="P139" s="1"/>
  <c r="Q139" s="1"/>
  <c r="AR139"/>
  <c r="X142" l="1"/>
  <c r="M142" s="1"/>
  <c r="AD140"/>
  <c r="O140" s="1"/>
  <c r="P140" s="1"/>
  <c r="Q140" s="1"/>
  <c r="AK140"/>
  <c r="AR140"/>
  <c r="X143" l="1"/>
  <c r="M143" s="1"/>
  <c r="AD141"/>
  <c r="O141" s="1"/>
  <c r="P141" s="1"/>
  <c r="Q141" s="1"/>
  <c r="AK141"/>
  <c r="AR141"/>
  <c r="X144" l="1"/>
  <c r="M144" s="1"/>
  <c r="AK142"/>
  <c r="AR142"/>
  <c r="AD142"/>
  <c r="O142" s="1"/>
  <c r="P142" s="1"/>
  <c r="Q142" s="1"/>
  <c r="X145" l="1"/>
  <c r="M145" s="1"/>
  <c r="AD143"/>
  <c r="O143" s="1"/>
  <c r="P143" s="1"/>
  <c r="Q143" s="1"/>
  <c r="AR143"/>
  <c r="AK143"/>
  <c r="X146" l="1"/>
  <c r="M146" s="1"/>
  <c r="AD144"/>
  <c r="O144" s="1"/>
  <c r="P144" s="1"/>
  <c r="Q144" s="1"/>
  <c r="AK144"/>
  <c r="AR144"/>
  <c r="X147" l="1"/>
  <c r="M147" s="1"/>
  <c r="AK145"/>
  <c r="AR145"/>
  <c r="AD145"/>
  <c r="O145" s="1"/>
  <c r="P145" s="1"/>
  <c r="Q145" s="1"/>
  <c r="X148" l="1"/>
  <c r="M148" s="1"/>
  <c r="AR146"/>
  <c r="AK146"/>
  <c r="AD146"/>
  <c r="O146" s="1"/>
  <c r="P146" s="1"/>
  <c r="Q146" s="1"/>
  <c r="X149" l="1"/>
  <c r="M149" s="1"/>
  <c r="AR147"/>
  <c r="AD147"/>
  <c r="O147" s="1"/>
  <c r="P147" s="1"/>
  <c r="Q147" s="1"/>
  <c r="AK147"/>
  <c r="X150" l="1"/>
  <c r="M150" s="1"/>
  <c r="AR148"/>
  <c r="AD148"/>
  <c r="O148" s="1"/>
  <c r="P148" s="1"/>
  <c r="Q148" s="1"/>
  <c r="AK148"/>
  <c r="X151" l="1"/>
  <c r="M151" s="1"/>
  <c r="AD149"/>
  <c r="O149" s="1"/>
  <c r="P149" s="1"/>
  <c r="Q149" s="1"/>
  <c r="AK149"/>
  <c r="AR149"/>
  <c r="X152" l="1"/>
  <c r="M152" s="1"/>
  <c r="AD150"/>
  <c r="O150" s="1"/>
  <c r="P150" s="1"/>
  <c r="Q150" s="1"/>
  <c r="AK150"/>
  <c r="AR150"/>
  <c r="X153" l="1"/>
  <c r="M153" s="1"/>
  <c r="AD151"/>
  <c r="O151" s="1"/>
  <c r="P151" s="1"/>
  <c r="Q151" s="1"/>
  <c r="AK151"/>
  <c r="AR151"/>
  <c r="X154" l="1"/>
  <c r="M154" s="1"/>
  <c r="AK152"/>
  <c r="AD152"/>
  <c r="O152" s="1"/>
  <c r="P152" s="1"/>
  <c r="Q152" s="1"/>
  <c r="AR152"/>
  <c r="X155" l="1"/>
  <c r="M155" s="1"/>
  <c r="AK153"/>
  <c r="AR153"/>
  <c r="AD153"/>
  <c r="O153" s="1"/>
  <c r="P153" s="1"/>
  <c r="Q153" s="1"/>
  <c r="X156" l="1"/>
  <c r="M156" s="1"/>
  <c r="AR154"/>
  <c r="AK154"/>
  <c r="AD154"/>
  <c r="O154" s="1"/>
  <c r="P154" s="1"/>
  <c r="Q154" s="1"/>
  <c r="X157" l="1"/>
  <c r="M157" s="1"/>
  <c r="AK155"/>
  <c r="AR155"/>
  <c r="AD155"/>
  <c r="O155" s="1"/>
  <c r="P155" s="1"/>
  <c r="Q155" s="1"/>
  <c r="X158" l="1"/>
  <c r="M158" s="1"/>
  <c r="AK156"/>
  <c r="AR156"/>
  <c r="AD156"/>
  <c r="O156" s="1"/>
  <c r="P156" s="1"/>
  <c r="Q156" s="1"/>
  <c r="X159" l="1"/>
  <c r="M159" s="1"/>
  <c r="AD157"/>
  <c r="O157" s="1"/>
  <c r="P157" s="1"/>
  <c r="Q157" s="1"/>
  <c r="AK157"/>
  <c r="AR157"/>
  <c r="X160" l="1"/>
  <c r="M160" s="1"/>
  <c r="AD158"/>
  <c r="O158" s="1"/>
  <c r="P158" s="1"/>
  <c r="Q158" s="1"/>
  <c r="AR158"/>
  <c r="AK158"/>
  <c r="X161" l="1"/>
  <c r="M161" s="1"/>
  <c r="AK159"/>
  <c r="AD159"/>
  <c r="O159" s="1"/>
  <c r="P159" s="1"/>
  <c r="Q159" s="1"/>
  <c r="AR159"/>
  <c r="X162" l="1"/>
  <c r="M162" s="1"/>
  <c r="AR160"/>
  <c r="AK160"/>
  <c r="AD160"/>
  <c r="O160" s="1"/>
  <c r="P160" s="1"/>
  <c r="Q160" s="1"/>
  <c r="X163" l="1"/>
  <c r="M163" s="1"/>
  <c r="AD161"/>
  <c r="O161" s="1"/>
  <c r="P161" s="1"/>
  <c r="Q161" s="1"/>
  <c r="AR161"/>
  <c r="AK161"/>
  <c r="X164" l="1"/>
  <c r="M164" s="1"/>
  <c r="AD162"/>
  <c r="O162" s="1"/>
  <c r="P162" s="1"/>
  <c r="Q162" s="1"/>
  <c r="AK162"/>
  <c r="AR162"/>
  <c r="X165" l="1"/>
  <c r="M165" s="1"/>
  <c r="AK163"/>
  <c r="AD163"/>
  <c r="O163" s="1"/>
  <c r="P163" s="1"/>
  <c r="Q163" s="1"/>
  <c r="AR163"/>
  <c r="X166" l="1"/>
  <c r="M166" s="1"/>
  <c r="AK164"/>
  <c r="AD164"/>
  <c r="O164" s="1"/>
  <c r="P164" s="1"/>
  <c r="Q164" s="1"/>
  <c r="AR164"/>
  <c r="X167" l="1"/>
  <c r="M167" s="1"/>
  <c r="AD165"/>
  <c r="O165" s="1"/>
  <c r="P165" s="1"/>
  <c r="Q165" s="1"/>
  <c r="AK165"/>
  <c r="AR165"/>
  <c r="X168" l="1"/>
  <c r="M168" s="1"/>
  <c r="AD166"/>
  <c r="O166" s="1"/>
  <c r="P166" s="1"/>
  <c r="Q166" s="1"/>
  <c r="AK166"/>
  <c r="AR166"/>
  <c r="X169" l="1"/>
  <c r="M169" s="1"/>
  <c r="AR167"/>
  <c r="AD167"/>
  <c r="O167" s="1"/>
  <c r="P167" s="1"/>
  <c r="Q167" s="1"/>
  <c r="AK167"/>
  <c r="X170" l="1"/>
  <c r="M170" s="1"/>
  <c r="AK168"/>
  <c r="AR168"/>
  <c r="AD168"/>
  <c r="O168" s="1"/>
  <c r="P168" s="1"/>
  <c r="Q168" s="1"/>
  <c r="X171" l="1"/>
  <c r="M171" s="1"/>
  <c r="AK169"/>
  <c r="AD169"/>
  <c r="O169" s="1"/>
  <c r="P169" s="1"/>
  <c r="Q169" s="1"/>
  <c r="AR169"/>
  <c r="X172" l="1"/>
  <c r="M172" s="1"/>
  <c r="AD170"/>
  <c r="O170" s="1"/>
  <c r="P170" s="1"/>
  <c r="Q170" s="1"/>
  <c r="AK170"/>
  <c r="AR170"/>
  <c r="X173" l="1"/>
  <c r="M173" s="1"/>
  <c r="AR171"/>
  <c r="AD171"/>
  <c r="O171" s="1"/>
  <c r="P171" s="1"/>
  <c r="Q171" s="1"/>
  <c r="AK171"/>
  <c r="X174" l="1"/>
  <c r="M174" s="1"/>
  <c r="AK172"/>
  <c r="AR172"/>
  <c r="AD172"/>
  <c r="O172" s="1"/>
  <c r="P172" s="1"/>
  <c r="Q172" s="1"/>
  <c r="X175" l="1"/>
  <c r="M175" s="1"/>
  <c r="AD173"/>
  <c r="O173" s="1"/>
  <c r="P173" s="1"/>
  <c r="Q173" s="1"/>
  <c r="AK173"/>
  <c r="AR173"/>
  <c r="X176" l="1"/>
  <c r="M176" s="1"/>
  <c r="AK174"/>
  <c r="AD174"/>
  <c r="O174" s="1"/>
  <c r="P174" s="1"/>
  <c r="Q174" s="1"/>
  <c r="AR174"/>
  <c r="X177" l="1"/>
  <c r="M177" s="1"/>
  <c r="AD175"/>
  <c r="O175" s="1"/>
  <c r="P175" s="1"/>
  <c r="Q175" s="1"/>
  <c r="AK175"/>
  <c r="AR175"/>
  <c r="X178" l="1"/>
  <c r="M178" s="1"/>
  <c r="AR176"/>
  <c r="AD176"/>
  <c r="O176" s="1"/>
  <c r="P176" s="1"/>
  <c r="Q176" s="1"/>
  <c r="AK176"/>
  <c r="X179" l="1"/>
  <c r="M179" s="1"/>
  <c r="AR177"/>
  <c r="AK177"/>
  <c r="AD177"/>
  <c r="O177" s="1"/>
  <c r="P177" s="1"/>
  <c r="Q177" s="1"/>
  <c r="X180" l="1"/>
  <c r="M180" s="1"/>
  <c r="AR178"/>
  <c r="AK178"/>
  <c r="AD178"/>
  <c r="O178" s="1"/>
  <c r="P178" s="1"/>
  <c r="Q178" s="1"/>
  <c r="X181" l="1"/>
  <c r="M181" s="1"/>
  <c r="AR179"/>
  <c r="AD179"/>
  <c r="O179" s="1"/>
  <c r="P179" s="1"/>
  <c r="Q179" s="1"/>
  <c r="AK179"/>
  <c r="X182" l="1"/>
  <c r="M182" s="1"/>
  <c r="AR180"/>
  <c r="AD180"/>
  <c r="O180" s="1"/>
  <c r="P180" s="1"/>
  <c r="Q180" s="1"/>
  <c r="AK180"/>
  <c r="X183" l="1"/>
  <c r="M183" s="1"/>
  <c r="AR181"/>
  <c r="AD181"/>
  <c r="O181" s="1"/>
  <c r="P181" s="1"/>
  <c r="Q181" s="1"/>
  <c r="AK181"/>
  <c r="X184" l="1"/>
  <c r="M184" s="1"/>
  <c r="AD182"/>
  <c r="O182" s="1"/>
  <c r="P182" s="1"/>
  <c r="Q182" s="1"/>
  <c r="AR182"/>
  <c r="AK182"/>
  <c r="X185" l="1"/>
  <c r="M185" s="1"/>
  <c r="AR183"/>
  <c r="AD183"/>
  <c r="O183" s="1"/>
  <c r="P183" s="1"/>
  <c r="Q183" s="1"/>
  <c r="AK183"/>
  <c r="X186" l="1"/>
  <c r="M186" s="1"/>
  <c r="AR184"/>
  <c r="AD184"/>
  <c r="O184" s="1"/>
  <c r="P184" s="1"/>
  <c r="Q184" s="1"/>
  <c r="AK184"/>
  <c r="X187" l="1"/>
  <c r="M187" s="1"/>
  <c r="AD185"/>
  <c r="O185" s="1"/>
  <c r="P185" s="1"/>
  <c r="Q185" s="1"/>
  <c r="AR185"/>
  <c r="AK185"/>
  <c r="X188" l="1"/>
  <c r="M188" s="1"/>
  <c r="AR186"/>
  <c r="AD186"/>
  <c r="O186" s="1"/>
  <c r="P186" s="1"/>
  <c r="Q186" s="1"/>
  <c r="AK186"/>
  <c r="X189" l="1"/>
  <c r="M189" s="1"/>
  <c r="AR187"/>
  <c r="AK187"/>
  <c r="AD187"/>
  <c r="O187" s="1"/>
  <c r="P187" s="1"/>
  <c r="Q187" s="1"/>
  <c r="X190" l="1"/>
  <c r="M190" s="1"/>
  <c r="AD188"/>
  <c r="O188" s="1"/>
  <c r="P188" s="1"/>
  <c r="Q188" s="1"/>
  <c r="AR188"/>
  <c r="AK188"/>
  <c r="X191" l="1"/>
  <c r="M191" s="1"/>
  <c r="AD189"/>
  <c r="O189" s="1"/>
  <c r="P189" s="1"/>
  <c r="Q189" s="1"/>
  <c r="AK189"/>
  <c r="AR189"/>
  <c r="X192" l="1"/>
  <c r="M192" s="1"/>
  <c r="AK190"/>
  <c r="AD190"/>
  <c r="O190" s="1"/>
  <c r="P190" s="1"/>
  <c r="Q190" s="1"/>
  <c r="AR190"/>
  <c r="X193" l="1"/>
  <c r="M193" s="1"/>
  <c r="AD191"/>
  <c r="O191" s="1"/>
  <c r="P191" s="1"/>
  <c r="Q191" s="1"/>
  <c r="AK191"/>
  <c r="AR191"/>
  <c r="X194" l="1"/>
  <c r="M194" s="1"/>
  <c r="AR192"/>
  <c r="AD192"/>
  <c r="O192" s="1"/>
  <c r="P192" s="1"/>
  <c r="Q192" s="1"/>
  <c r="AK192"/>
  <c r="X195" l="1"/>
  <c r="M195" s="1"/>
  <c r="AR193"/>
  <c r="AK193"/>
  <c r="AD193"/>
  <c r="O193" s="1"/>
  <c r="P193" s="1"/>
  <c r="Q193" s="1"/>
  <c r="X196" l="1"/>
  <c r="M196" s="1"/>
  <c r="AK194"/>
  <c r="AR194"/>
  <c r="AD194"/>
  <c r="O194" s="1"/>
  <c r="P194" s="1"/>
  <c r="Q194" s="1"/>
  <c r="X197" l="1"/>
  <c r="M197" s="1"/>
  <c r="AK195"/>
  <c r="AD195"/>
  <c r="O195" s="1"/>
  <c r="P195" s="1"/>
  <c r="Q195" s="1"/>
  <c r="AR195"/>
  <c r="X198" l="1"/>
  <c r="M198" s="1"/>
  <c r="AD196"/>
  <c r="O196" s="1"/>
  <c r="P196" s="1"/>
  <c r="Q196" s="1"/>
  <c r="AK196"/>
  <c r="AR196"/>
  <c r="X199" l="1"/>
  <c r="M199" s="1"/>
  <c r="AD197"/>
  <c r="O197" s="1"/>
  <c r="P197" s="1"/>
  <c r="Q197" s="1"/>
  <c r="AK197"/>
  <c r="AR197"/>
  <c r="X200" l="1"/>
  <c r="M200" s="1"/>
  <c r="AK198"/>
  <c r="AR198"/>
  <c r="AD198"/>
  <c r="O198" s="1"/>
  <c r="P198" s="1"/>
  <c r="Q198" s="1"/>
  <c r="X201" l="1"/>
  <c r="M201" s="1"/>
  <c r="AK199"/>
  <c r="AD199"/>
  <c r="O199" s="1"/>
  <c r="P199" s="1"/>
  <c r="Q199" s="1"/>
  <c r="AR199"/>
  <c r="X202" l="1"/>
  <c r="M202" s="1"/>
  <c r="AD200"/>
  <c r="O200" s="1"/>
  <c r="P200" s="1"/>
  <c r="Q200" s="1"/>
  <c r="AK200"/>
  <c r="AR200"/>
  <c r="X203" l="1"/>
  <c r="M203" s="1"/>
  <c r="AK201"/>
  <c r="AR201"/>
  <c r="AD201"/>
  <c r="O201" s="1"/>
  <c r="P201" s="1"/>
  <c r="Q201" s="1"/>
  <c r="X204" l="1"/>
  <c r="M204" s="1"/>
  <c r="AR202"/>
  <c r="AD202"/>
  <c r="O202" s="1"/>
  <c r="P202" s="1"/>
  <c r="Q202" s="1"/>
  <c r="AK202"/>
  <c r="X205" l="1"/>
  <c r="M205" s="1"/>
  <c r="AD203"/>
  <c r="O203" s="1"/>
  <c r="P203" s="1"/>
  <c r="Q203" s="1"/>
  <c r="AR203"/>
  <c r="AK203"/>
  <c r="X206" l="1"/>
  <c r="M206" s="1"/>
  <c r="AK204"/>
  <c r="AD204"/>
  <c r="O204" s="1"/>
  <c r="P204" s="1"/>
  <c r="Q204" s="1"/>
  <c r="AR204"/>
  <c r="X207" l="1"/>
  <c r="M207" s="1"/>
  <c r="AR205"/>
  <c r="AK205"/>
  <c r="AD205"/>
  <c r="O205" s="1"/>
  <c r="P205" s="1"/>
  <c r="Q205" s="1"/>
  <c r="X208" l="1"/>
  <c r="M208" s="1"/>
  <c r="AR206"/>
  <c r="AK206"/>
  <c r="AD206"/>
  <c r="O206" s="1"/>
  <c r="P206" s="1"/>
  <c r="Q206" s="1"/>
  <c r="X209" l="1"/>
  <c r="M209" s="1"/>
  <c r="AK207"/>
  <c r="AD207"/>
  <c r="O207" s="1"/>
  <c r="P207" s="1"/>
  <c r="Q207" s="1"/>
  <c r="AR207"/>
  <c r="X210" l="1"/>
  <c r="M210" s="1"/>
  <c r="AK208"/>
  <c r="AR208"/>
  <c r="AD208"/>
  <c r="O208" s="1"/>
  <c r="P208" s="1"/>
  <c r="Q208" s="1"/>
  <c r="X211" l="1"/>
  <c r="M211" s="1"/>
  <c r="AK209"/>
  <c r="AD209"/>
  <c r="O209" s="1"/>
  <c r="P209" s="1"/>
  <c r="Q209" s="1"/>
  <c r="AR209"/>
  <c r="X212" l="1"/>
  <c r="M212" s="1"/>
  <c r="AK210"/>
  <c r="AR210"/>
  <c r="AD210"/>
  <c r="O210" s="1"/>
  <c r="P210" s="1"/>
  <c r="Q210" s="1"/>
  <c r="X213" l="1"/>
  <c r="M213" s="1"/>
  <c r="AR211"/>
  <c r="AK211"/>
  <c r="AD211"/>
  <c r="O211" s="1"/>
  <c r="P211" s="1"/>
  <c r="Q211" s="1"/>
  <c r="X214" l="1"/>
  <c r="M214" s="1"/>
  <c r="AR212"/>
  <c r="AD212"/>
  <c r="O212" s="1"/>
  <c r="P212" s="1"/>
  <c r="Q212" s="1"/>
  <c r="AK212"/>
  <c r="X215" l="1"/>
  <c r="M215" s="1"/>
  <c r="AR213"/>
  <c r="AD213"/>
  <c r="O213" s="1"/>
  <c r="P213" s="1"/>
  <c r="Q213" s="1"/>
  <c r="AK213"/>
  <c r="X216" l="1"/>
  <c r="M216" s="1"/>
  <c r="AR214"/>
  <c r="AD214"/>
  <c r="O214" s="1"/>
  <c r="P214" s="1"/>
  <c r="Q214" s="1"/>
  <c r="AK214"/>
  <c r="X217" l="1"/>
  <c r="M217" s="1"/>
  <c r="AR215"/>
  <c r="AK215"/>
  <c r="AD215"/>
  <c r="O215" s="1"/>
  <c r="P215" s="1"/>
  <c r="Q215" s="1"/>
  <c r="X218" l="1"/>
  <c r="M218" s="1"/>
  <c r="AR216"/>
  <c r="AD216"/>
  <c r="O216" s="1"/>
  <c r="P216" s="1"/>
  <c r="Q216" s="1"/>
  <c r="AK216"/>
  <c r="X219" l="1"/>
  <c r="M219" s="1"/>
  <c r="AK217"/>
  <c r="AR217"/>
  <c r="AD217"/>
  <c r="O217" s="1"/>
  <c r="P217" s="1"/>
  <c r="Q217" s="1"/>
  <c r="X220" l="1"/>
  <c r="M220" s="1"/>
  <c r="AR218"/>
  <c r="AD218"/>
  <c r="O218" s="1"/>
  <c r="P218" s="1"/>
  <c r="Q218" s="1"/>
  <c r="AK218"/>
  <c r="X221" l="1"/>
  <c r="M221" s="1"/>
  <c r="AR219"/>
  <c r="AK219"/>
  <c r="AD219"/>
  <c r="O219" s="1"/>
  <c r="P219" s="1"/>
  <c r="Q219" s="1"/>
  <c r="X222" l="1"/>
  <c r="M222" s="1"/>
  <c r="AK220"/>
  <c r="AR220"/>
  <c r="AD220"/>
  <c r="O220" s="1"/>
  <c r="P220" s="1"/>
  <c r="Q220" s="1"/>
  <c r="X223" l="1"/>
  <c r="M223" s="1"/>
  <c r="AR221"/>
  <c r="AD221"/>
  <c r="O221" s="1"/>
  <c r="P221" s="1"/>
  <c r="Q221" s="1"/>
  <c r="AK221"/>
  <c r="X224" l="1"/>
  <c r="M224" s="1"/>
  <c r="AR222"/>
  <c r="AK222"/>
  <c r="AD222"/>
  <c r="O222" s="1"/>
  <c r="P222" s="1"/>
  <c r="Q222" s="1"/>
  <c r="X225" l="1"/>
  <c r="M225" s="1"/>
  <c r="AD223"/>
  <c r="O223" s="1"/>
  <c r="P223" s="1"/>
  <c r="Q223" s="1"/>
  <c r="AR223"/>
  <c r="AK223"/>
  <c r="X226" l="1"/>
  <c r="M226" s="1"/>
  <c r="AK224"/>
  <c r="AR224"/>
  <c r="AD224"/>
  <c r="O224" s="1"/>
  <c r="P224" s="1"/>
  <c r="Q224" s="1"/>
  <c r="X227" l="1"/>
  <c r="M227" s="1"/>
  <c r="AD225"/>
  <c r="O225" s="1"/>
  <c r="P225" s="1"/>
  <c r="Q225" s="1"/>
  <c r="AK225"/>
  <c r="AR225"/>
  <c r="X228" l="1"/>
  <c r="M228" s="1"/>
  <c r="AK226"/>
  <c r="AD226"/>
  <c r="O226" s="1"/>
  <c r="P226" s="1"/>
  <c r="Q226" s="1"/>
  <c r="AR226"/>
  <c r="X229" l="1"/>
  <c r="M229" s="1"/>
  <c r="AD227"/>
  <c r="O227" s="1"/>
  <c r="P227" s="1"/>
  <c r="Q227" s="1"/>
  <c r="AR227"/>
  <c r="AK227"/>
  <c r="X230" l="1"/>
  <c r="M230" s="1"/>
  <c r="AD228"/>
  <c r="O228" s="1"/>
  <c r="P228" s="1"/>
  <c r="Q228" s="1"/>
  <c r="AK228"/>
  <c r="AR228"/>
  <c r="X231" l="1"/>
  <c r="M231" s="1"/>
  <c r="AR229"/>
  <c r="AD229"/>
  <c r="O229" s="1"/>
  <c r="P229" s="1"/>
  <c r="Q229" s="1"/>
  <c r="AK229"/>
  <c r="X232" l="1"/>
  <c r="M232" s="1"/>
  <c r="AR230"/>
  <c r="AD230"/>
  <c r="O230" s="1"/>
  <c r="P230" s="1"/>
  <c r="Q230" s="1"/>
  <c r="AK230"/>
  <c r="X233" l="1"/>
  <c r="M233" s="1"/>
  <c r="AR231"/>
  <c r="AK231"/>
  <c r="AD231"/>
  <c r="O231" s="1"/>
  <c r="P231" s="1"/>
  <c r="Q231" s="1"/>
  <c r="X234" l="1"/>
  <c r="M234" s="1"/>
  <c r="AK232"/>
  <c r="AD232"/>
  <c r="O232" s="1"/>
  <c r="P232" s="1"/>
  <c r="Q232" s="1"/>
  <c r="AR232"/>
  <c r="X235" l="1"/>
  <c r="M235" s="1"/>
  <c r="AK233"/>
  <c r="AD233"/>
  <c r="O233" s="1"/>
  <c r="P233" s="1"/>
  <c r="Q233" s="1"/>
  <c r="AR233"/>
  <c r="X236" l="1"/>
  <c r="M236" s="1"/>
  <c r="AD234"/>
  <c r="O234" s="1"/>
  <c r="P234" s="1"/>
  <c r="Q234" s="1"/>
  <c r="AR234"/>
  <c r="AK234"/>
  <c r="X237" l="1"/>
  <c r="M237" s="1"/>
  <c r="AK235"/>
  <c r="AD235"/>
  <c r="O235" s="1"/>
  <c r="P235" s="1"/>
  <c r="Q235" s="1"/>
  <c r="AR235"/>
  <c r="X238" l="1"/>
  <c r="M238" s="1"/>
  <c r="AD236"/>
  <c r="O236" s="1"/>
  <c r="P236" s="1"/>
  <c r="Q236" s="1"/>
  <c r="AR236"/>
  <c r="AK236"/>
  <c r="X239" l="1"/>
  <c r="M239" s="1"/>
  <c r="AR237"/>
  <c r="AD237"/>
  <c r="O237" s="1"/>
  <c r="P237" s="1"/>
  <c r="Q237" s="1"/>
  <c r="AK237"/>
  <c r="X240" l="1"/>
  <c r="M240" s="1"/>
  <c r="AD238"/>
  <c r="O238" s="1"/>
  <c r="P238" s="1"/>
  <c r="Q238" s="1"/>
  <c r="AR238"/>
  <c r="AK238"/>
  <c r="X241" l="1"/>
  <c r="M241" s="1"/>
  <c r="AD239"/>
  <c r="O239" s="1"/>
  <c r="P239" s="1"/>
  <c r="Q239" s="1"/>
  <c r="AK239"/>
  <c r="AR239"/>
  <c r="X242" l="1"/>
  <c r="M242" s="1"/>
  <c r="AD240"/>
  <c r="O240" s="1"/>
  <c r="P240" s="1"/>
  <c r="Q240" s="1"/>
  <c r="AR240"/>
  <c r="AK240"/>
  <c r="X243" l="1"/>
  <c r="M243" s="1"/>
  <c r="AR241"/>
  <c r="AK241"/>
  <c r="AD241"/>
  <c r="O241" s="1"/>
  <c r="P241" s="1"/>
  <c r="Q241" s="1"/>
  <c r="X244" l="1"/>
  <c r="M244" s="1"/>
  <c r="AK242"/>
  <c r="AD242"/>
  <c r="O242" s="1"/>
  <c r="P242" s="1"/>
  <c r="Q242" s="1"/>
  <c r="AR242"/>
  <c r="X245" l="1"/>
  <c r="M245" s="1"/>
  <c r="AD243"/>
  <c r="O243" s="1"/>
  <c r="P243" s="1"/>
  <c r="Q243" s="1"/>
  <c r="AK243"/>
  <c r="AR243"/>
  <c r="X246" l="1"/>
  <c r="M246" s="1"/>
  <c r="AR244"/>
  <c r="AD244"/>
  <c r="O244" s="1"/>
  <c r="P244" s="1"/>
  <c r="Q244" s="1"/>
  <c r="AK244"/>
  <c r="X247" l="1"/>
  <c r="M247" s="1"/>
  <c r="AK245"/>
  <c r="AR245"/>
  <c r="AD245"/>
  <c r="O245" s="1"/>
  <c r="P245" s="1"/>
  <c r="Q245" s="1"/>
  <c r="X248" l="1"/>
  <c r="M248" s="1"/>
  <c r="AK246"/>
  <c r="AD246"/>
  <c r="O246" s="1"/>
  <c r="P246" s="1"/>
  <c r="Q246" s="1"/>
  <c r="AR246"/>
  <c r="X249" l="1"/>
  <c r="M249" s="1"/>
  <c r="AD247"/>
  <c r="O247" s="1"/>
  <c r="P247" s="1"/>
  <c r="Q247" s="1"/>
  <c r="AR247"/>
  <c r="AK247"/>
  <c r="X250" l="1"/>
  <c r="M250" s="1"/>
  <c r="AR248"/>
  <c r="AK248"/>
  <c r="AD248"/>
  <c r="O248" s="1"/>
  <c r="P248" s="1"/>
  <c r="Q248" s="1"/>
  <c r="X251" l="1"/>
  <c r="M251" s="1"/>
  <c r="AK249"/>
  <c r="AD249"/>
  <c r="O249" s="1"/>
  <c r="P249" s="1"/>
  <c r="Q249" s="1"/>
  <c r="AR249"/>
  <c r="X252" l="1"/>
  <c r="M252" s="1"/>
  <c r="AK250"/>
  <c r="AR250"/>
  <c r="AD250"/>
  <c r="O250" s="1"/>
  <c r="P250" s="1"/>
  <c r="Q250" s="1"/>
  <c r="X253" l="1"/>
  <c r="M253" s="1"/>
  <c r="AD251"/>
  <c r="O251" s="1"/>
  <c r="P251" s="1"/>
  <c r="Q251" s="1"/>
  <c r="AK251"/>
  <c r="AR251"/>
  <c r="X254" l="1"/>
  <c r="M254" s="1"/>
  <c r="AD252"/>
  <c r="O252" s="1"/>
  <c r="P252" s="1"/>
  <c r="Q252" s="1"/>
  <c r="AK252"/>
  <c r="AR252"/>
  <c r="X255" l="1"/>
  <c r="M255" s="1"/>
  <c r="AD253"/>
  <c r="O253" s="1"/>
  <c r="P253" s="1"/>
  <c r="Q253" s="1"/>
  <c r="AR253"/>
  <c r="AK253"/>
  <c r="X256" l="1"/>
  <c r="M256" s="1"/>
  <c r="AD254"/>
  <c r="O254" s="1"/>
  <c r="P254" s="1"/>
  <c r="Q254" s="1"/>
  <c r="AK254"/>
  <c r="AR254"/>
  <c r="X257" l="1"/>
  <c r="M257" s="1"/>
  <c r="AK255"/>
  <c r="AD255"/>
  <c r="O255" s="1"/>
  <c r="P255" s="1"/>
  <c r="Q255" s="1"/>
  <c r="AR255"/>
  <c r="X258" l="1"/>
  <c r="M258" s="1"/>
  <c r="AK256"/>
  <c r="AD256"/>
  <c r="O256" s="1"/>
  <c r="P256" s="1"/>
  <c r="Q256" s="1"/>
  <c r="AR256"/>
  <c r="X259" l="1"/>
  <c r="M259" s="1"/>
  <c r="AD257"/>
  <c r="O257" s="1"/>
  <c r="P257" s="1"/>
  <c r="Q257" s="1"/>
  <c r="AR257"/>
  <c r="AK257"/>
  <c r="X260" l="1"/>
  <c r="M260" s="1"/>
  <c r="AR258"/>
  <c r="AK258"/>
  <c r="AD258"/>
  <c r="O258" s="1"/>
  <c r="P258" s="1"/>
  <c r="Q258" s="1"/>
  <c r="X261" l="1"/>
  <c r="M261" s="1"/>
  <c r="AK259"/>
  <c r="AD259"/>
  <c r="O259" s="1"/>
  <c r="P259" s="1"/>
  <c r="Q259" s="1"/>
  <c r="AR259"/>
  <c r="X262" l="1"/>
  <c r="M262" s="1"/>
  <c r="AK260"/>
  <c r="AD260"/>
  <c r="O260" s="1"/>
  <c r="P260" s="1"/>
  <c r="Q260" s="1"/>
  <c r="AR260"/>
  <c r="X263" l="1"/>
  <c r="M263" s="1"/>
  <c r="AD261"/>
  <c r="O261" s="1"/>
  <c r="P261" s="1"/>
  <c r="Q261" s="1"/>
  <c r="AR261"/>
  <c r="AK261"/>
  <c r="W263" l="1"/>
  <c r="N263" s="1"/>
  <c r="AR263"/>
  <c r="AR262"/>
  <c r="AK263"/>
  <c r="AK262"/>
  <c r="AD263"/>
  <c r="O263" s="1"/>
  <c r="P263" s="1"/>
  <c r="Q263" s="1"/>
  <c r="AD262"/>
  <c r="O262" s="1"/>
  <c r="P262" s="1"/>
  <c r="Q262" s="1"/>
  <c r="W6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255"/>
  <c r="N255" s="1"/>
  <c r="W259"/>
  <c r="N259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257"/>
  <c r="N257" s="1"/>
  <c r="W261"/>
  <c r="N261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254"/>
  <c r="N254" s="1"/>
  <c r="W256"/>
  <c r="N256" s="1"/>
  <c r="W260"/>
  <c r="N260" s="1"/>
  <c r="W262"/>
  <c r="N262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W258"/>
  <c r="N258" s="1"/>
  <c r="Q264" l="1"/>
</calcChain>
</file>

<file path=xl/sharedStrings.xml><?xml version="1.0" encoding="utf-8"?>
<sst xmlns="http://schemas.openxmlformats.org/spreadsheetml/2006/main" count="146" uniqueCount="94">
  <si>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</si>
  <si>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</si>
  <si>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</si>
  <si>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</si>
  <si>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</si>
  <si>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</si>
  <si>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</si>
  <si>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</si>
  <si>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</si>
  <si>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</si>
  <si>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</si>
  <si>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</si>
  <si>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</si>
  <si>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</si>
  <si>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</si>
  <si>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</si>
  <si>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</si>
  <si>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</si>
  <si>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</si>
  <si>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</si>
  <si>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</si>
  <si>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</si>
  <si>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</si>
  <si>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</si>
  <si>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</si>
  <si>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</si>
  <si>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</si>
  <si>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</si>
  <si>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</si>
  <si>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</si>
  <si>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</si>
  <si>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</si>
  <si>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</si>
  <si>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</si>
  <si>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</si>
  <si>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</si>
  <si>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</si>
  <si>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</si>
  <si>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</si>
  <si>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</si>
  <si>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</si>
  <si>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</si>
  <si>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</si>
  <si>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</si>
  <si>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</si>
  <si>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</si>
  <si>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</si>
  <si>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</si>
  <si>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</si>
  <si>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</si>
  <si>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</si>
  <si>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</si>
  <si>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</si>
  <si>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</si>
  <si>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</si>
  <si>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</si>
  <si>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</si>
  <si>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</si>
  <si>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</si>
  <si>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</si>
  <si>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</si>
  <si>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</si>
  <si>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</si>
  <si>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</si>
  <si>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</si>
  <si>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</si>
  <si>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</si>
  <si>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</si>
  <si>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</si>
  <si>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</si>
  <si>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</si>
  <si>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</si>
  <si>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</si>
  <si>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</si>
  <si>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</si>
  <si>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Reservoirs</t>
  </si>
  <si>
    <t>Total Steel Mass (kg):</t>
  </si>
  <si>
    <t>Break Pressure</t>
  </si>
  <si>
    <t>m - Elevation</t>
  </si>
  <si>
    <t>m -Diameter</t>
  </si>
  <si>
    <t>508-520</t>
  </si>
  <si>
    <t>m - Pumping Head</t>
  </si>
  <si>
    <t>BPT 3</t>
  </si>
  <si>
    <t>8-22</t>
  </si>
  <si>
    <t>m -Elevation</t>
  </si>
  <si>
    <t>336-508</t>
  </si>
  <si>
    <t>BPT 5</t>
  </si>
  <si>
    <t>PS 3</t>
  </si>
  <si>
    <t>Option 7 Summary</t>
  </si>
  <si>
    <t>22-158</t>
  </si>
  <si>
    <t>158-228</t>
  </si>
  <si>
    <t>228-336</t>
  </si>
  <si>
    <t>Option 4A</t>
  </si>
  <si>
    <t>4A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</si>
</sst>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Botswana 1</c:v>
          </c:tx>
          <c:spPr>
            <a:ln w="28575"/>
          </c:spPr>
          <c:marker>
            <c:symbol val="none"/>
          </c:marker>
          <c:dPt>
            <c:idx val="257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chemeClr val="tx1"/>
                  </a:solidFill>
                </a:ln>
              </c:spPr>
            </c:marker>
          </c:dPt>
          <c:dLbls>
            <c:dLbl>
              <c:idx val="257"/>
              <c:layout/>
              <c:tx>
                <c:rich>
                  <a:bodyPr/>
                  <a:lstStyle/>
                  <a:p>
                    <a:r>
                      <a:rPr lang="en-US" sz="1200" b="1"/>
                      <a:t>BPT 1</a:t>
                    </a:r>
                  </a:p>
                </c:rich>
              </c:tx>
              <c:showVal val="1"/>
            </c:dLbl>
            <c:delete val="1"/>
          </c:dLbls>
          <c:xVal>
            <c:numRef>
              <c:f>'Control Points'!$A$4:$A$263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'Control Points'!$B$4:$B$263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spPr>
            <a:ln w="28575"/>
          </c:spPr>
          <c:marker>
            <c:symbol val="none"/>
          </c:marker>
          <c:dPt>
            <c:idx val="0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Pt>
            <c:idx val="2"/>
          </c:dPt>
          <c:dPt>
            <c:idx val="8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Pt>
            <c:idx val="111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Pt>
            <c:idx val="114"/>
            <c:marker>
              <c:symbol val="circle"/>
              <c:size val="6"/>
              <c:spPr>
                <a:solidFill>
                  <a:srgbClr val="FF000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Lbls>
            <c:dLbl>
              <c:idx val="0"/>
              <c:layout>
                <c:manualLayout>
                  <c:x val="-5.6687333923826425E-2"/>
                  <c:y val="-4.2685632083462176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Pandamatenga</a:t>
                    </a:r>
                  </a:p>
                </c:rich>
              </c:tx>
              <c:showVal val="1"/>
            </c:dLbl>
            <c:dLbl>
              <c:idx val="111"/>
              <c:layout>
                <c:manualLayout>
                  <c:x val="-2.7162680838500142E-2"/>
                  <c:y val="-3.0235656059119018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Nata</a:t>
                    </a:r>
                  </a:p>
                </c:rich>
              </c:tx>
              <c:showVal val="1"/>
            </c:dLbl>
            <c:delete val="1"/>
          </c:dLbls>
          <c:xVal>
            <c:numRef>
              <c:f>'Control Points'!$A$4:$A$253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'Control Points'!$C$4:$C$253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2"/>
          <c:order val="2"/>
          <c:tx>
            <c:v>BPT </c:v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Lit>
              <c:formatCode>General</c:formatCode>
              <c:ptCount val="1"/>
              <c:pt idx="0">
                <c:v>1069.018</c:v>
              </c:pt>
            </c:numLit>
          </c:yVal>
        </c:ser>
        <c:ser>
          <c:idx val="3"/>
          <c:order val="3"/>
          <c:tx>
            <c:v>PS</c:v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Lit>
              <c:formatCode>General</c:formatCode>
              <c:ptCount val="1"/>
              <c:pt idx="0">
                <c:v>4</c:v>
              </c:pt>
            </c:numLit>
          </c:xVal>
          <c:yVal>
            <c:numLit>
              <c:formatCode>General</c:formatCode>
              <c:ptCount val="1"/>
              <c:pt idx="0">
                <c:v>1067.3209999999999</c:v>
              </c:pt>
            </c:numLit>
          </c:yVal>
        </c:ser>
        <c:axId val="83660800"/>
        <c:axId val="83663104"/>
      </c:scatterChart>
      <c:valAx>
        <c:axId val="83660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663104"/>
        <c:crosses val="autoZero"/>
        <c:crossBetween val="midCat"/>
      </c:valAx>
      <c:valAx>
        <c:axId val="836631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6608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91" l="0.70866141732283783" r="0.70866141732283783" t="0.74803149606299491" header="0.3149606299212625" footer="0.314960629921262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 baseline="0"/>
              <a:t>Option 1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dLbls>
            <c:dLbl>
              <c:idx val="153"/>
              <c:layout/>
              <c:showVal val="1"/>
            </c:dLbl>
            <c:dLbl>
              <c:idx val="178"/>
              <c:layout/>
              <c:showVal val="1"/>
            </c:dLbl>
            <c:delete val="1"/>
          </c:dLbls>
          <c:xVal>
            <c:numRef>
              <c:f>'Control Points'!$A$4:$A$263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'Control Points'!$B$4:$B$263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axId val="90388736"/>
        <c:axId val="90399104"/>
      </c:scatterChart>
      <c:valAx>
        <c:axId val="90388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399104"/>
        <c:crosses val="autoZero"/>
        <c:crossBetween val="midCat"/>
      </c:valAx>
      <c:valAx>
        <c:axId val="903991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3887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513" l="0.70866141732283805" r="0.70866141732283805" t="0.74803149606299513" header="0.31496062992126272" footer="0.3149606299212627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90531712"/>
        <c:axId val="90550272"/>
      </c:scatterChart>
      <c:valAx>
        <c:axId val="90531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550272"/>
        <c:crosses val="autoZero"/>
        <c:crossBetween val="midCat"/>
      </c:valAx>
      <c:valAx>
        <c:axId val="905502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5317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68" l="0.70866141732283761" r="0.70866141732283761" t="0.74803149606299468" header="0.31496062992126223" footer="0.3149606299212622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16: Option 4A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Hydraulics!$G$4:$G$263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Hydraulics!$X$4:$X$263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1077.9923389050687</c:v>
                </c:pt>
                <c:pt idx="2">
                  <c:v>1076.9666778101373</c:v>
                </c:pt>
                <c:pt idx="3">
                  <c:v>1125.9410167152059</c:v>
                </c:pt>
                <c:pt idx="4">
                  <c:v>1124.9153556202746</c:v>
                </c:pt>
                <c:pt idx="5">
                  <c:v>1123.8896945253432</c:v>
                </c:pt>
                <c:pt idx="6">
                  <c:v>1122.8640334304118</c:v>
                </c:pt>
                <c:pt idx="7">
                  <c:v>1121.8383723354805</c:v>
                </c:pt>
                <c:pt idx="8">
                  <c:v>1120.8127112405491</c:v>
                </c:pt>
                <c:pt idx="9">
                  <c:v>1119.7870501456177</c:v>
                </c:pt>
                <c:pt idx="10">
                  <c:v>1111.67</c:v>
                </c:pt>
                <c:pt idx="11">
                  <c:v>1110.6443389050687</c:v>
                </c:pt>
                <c:pt idx="12">
                  <c:v>1109.6186778101373</c:v>
                </c:pt>
                <c:pt idx="13">
                  <c:v>1108.593016715206</c:v>
                </c:pt>
                <c:pt idx="14">
                  <c:v>1107.5673556202746</c:v>
                </c:pt>
                <c:pt idx="15">
                  <c:v>1106.5416945253432</c:v>
                </c:pt>
                <c:pt idx="16">
                  <c:v>1105.5160334304119</c:v>
                </c:pt>
                <c:pt idx="17">
                  <c:v>1104.4903723354805</c:v>
                </c:pt>
                <c:pt idx="18">
                  <c:v>1103.4647112405491</c:v>
                </c:pt>
                <c:pt idx="19">
                  <c:v>1102.4390501456178</c:v>
                </c:pt>
                <c:pt idx="20">
                  <c:v>1101.4133890506864</c:v>
                </c:pt>
                <c:pt idx="21">
                  <c:v>1100.3877279557551</c:v>
                </c:pt>
                <c:pt idx="22">
                  <c:v>1099.3620668608237</c:v>
                </c:pt>
                <c:pt idx="23">
                  <c:v>1098.3364057658923</c:v>
                </c:pt>
                <c:pt idx="24">
                  <c:v>1097.310744670961</c:v>
                </c:pt>
                <c:pt idx="25">
                  <c:v>1096.2850835760296</c:v>
                </c:pt>
                <c:pt idx="26">
                  <c:v>1095.2594224810982</c:v>
                </c:pt>
                <c:pt idx="27">
                  <c:v>1094.2337613861669</c:v>
                </c:pt>
                <c:pt idx="28">
                  <c:v>1093.2081002912355</c:v>
                </c:pt>
                <c:pt idx="29">
                  <c:v>1092.1824391963041</c:v>
                </c:pt>
                <c:pt idx="30">
                  <c:v>1091.1567781013728</c:v>
                </c:pt>
                <c:pt idx="31">
                  <c:v>1090.1311170064414</c:v>
                </c:pt>
                <c:pt idx="32">
                  <c:v>1089.10545591151</c:v>
                </c:pt>
                <c:pt idx="33">
                  <c:v>1088.0797948165787</c:v>
                </c:pt>
                <c:pt idx="34">
                  <c:v>1087.0541337216473</c:v>
                </c:pt>
                <c:pt idx="35">
                  <c:v>1086.0284726267159</c:v>
                </c:pt>
                <c:pt idx="36">
                  <c:v>1085.0028115317846</c:v>
                </c:pt>
                <c:pt idx="37">
                  <c:v>1083.9771504368532</c:v>
                </c:pt>
                <c:pt idx="38">
                  <c:v>1082.9514893419218</c:v>
                </c:pt>
                <c:pt idx="39">
                  <c:v>1081.9258282469905</c:v>
                </c:pt>
                <c:pt idx="40">
                  <c:v>1080.9001671520591</c:v>
                </c:pt>
                <c:pt idx="41">
                  <c:v>1079.8745060571277</c:v>
                </c:pt>
                <c:pt idx="42">
                  <c:v>1078.8488449621964</c:v>
                </c:pt>
                <c:pt idx="43">
                  <c:v>1077.823183867265</c:v>
                </c:pt>
                <c:pt idx="44">
                  <c:v>1076.7975227723337</c:v>
                </c:pt>
                <c:pt idx="45">
                  <c:v>1075.7718616774023</c:v>
                </c:pt>
                <c:pt idx="46">
                  <c:v>1074.7462005824709</c:v>
                </c:pt>
                <c:pt idx="47">
                  <c:v>1073.7205394875396</c:v>
                </c:pt>
                <c:pt idx="48">
                  <c:v>1072.6948783926082</c:v>
                </c:pt>
                <c:pt idx="49">
                  <c:v>1071.6692172976768</c:v>
                </c:pt>
                <c:pt idx="50">
                  <c:v>1070.6435562027455</c:v>
                </c:pt>
                <c:pt idx="51">
                  <c:v>1069.6178951078141</c:v>
                </c:pt>
                <c:pt idx="52">
                  <c:v>1068.5922340128827</c:v>
                </c:pt>
                <c:pt idx="53">
                  <c:v>1067.5665729179514</c:v>
                </c:pt>
                <c:pt idx="54">
                  <c:v>1066.54091182302</c:v>
                </c:pt>
                <c:pt idx="55">
                  <c:v>1065.5152507280886</c:v>
                </c:pt>
                <c:pt idx="56">
                  <c:v>1064.4895896331573</c:v>
                </c:pt>
                <c:pt idx="57">
                  <c:v>1063.4639285382259</c:v>
                </c:pt>
                <c:pt idx="58">
                  <c:v>1062.4382674432945</c:v>
                </c:pt>
                <c:pt idx="59">
                  <c:v>1061.4126063483632</c:v>
                </c:pt>
                <c:pt idx="60">
                  <c:v>1060.3869452534318</c:v>
                </c:pt>
                <c:pt idx="61">
                  <c:v>1059.3612841585004</c:v>
                </c:pt>
                <c:pt idx="62">
                  <c:v>1058.3356230635691</c:v>
                </c:pt>
                <c:pt idx="63">
                  <c:v>1057.3099619686377</c:v>
                </c:pt>
                <c:pt idx="64">
                  <c:v>1056.2843008737063</c:v>
                </c:pt>
                <c:pt idx="65">
                  <c:v>1055.258639778775</c:v>
                </c:pt>
                <c:pt idx="66">
                  <c:v>1054.2329786838436</c:v>
                </c:pt>
                <c:pt idx="67">
                  <c:v>1053.2073175889122</c:v>
                </c:pt>
                <c:pt idx="68">
                  <c:v>1052.1816564939809</c:v>
                </c:pt>
                <c:pt idx="69">
                  <c:v>1051.1559953990495</c:v>
                </c:pt>
                <c:pt idx="70">
                  <c:v>1050.1303343041182</c:v>
                </c:pt>
                <c:pt idx="71">
                  <c:v>1049.1046732091868</c:v>
                </c:pt>
                <c:pt idx="72">
                  <c:v>1048.0790121142554</c:v>
                </c:pt>
                <c:pt idx="73">
                  <c:v>1047.0533510193241</c:v>
                </c:pt>
                <c:pt idx="74">
                  <c:v>1046.0276899243927</c:v>
                </c:pt>
                <c:pt idx="75">
                  <c:v>1045.0020288294613</c:v>
                </c:pt>
                <c:pt idx="76">
                  <c:v>1043.97636773453</c:v>
                </c:pt>
                <c:pt idx="77">
                  <c:v>1042.9507066395986</c:v>
                </c:pt>
                <c:pt idx="78">
                  <c:v>1041.5997529255378</c:v>
                </c:pt>
                <c:pt idx="79">
                  <c:v>1040.248799211477</c:v>
                </c:pt>
                <c:pt idx="80">
                  <c:v>1038.8978454974163</c:v>
                </c:pt>
                <c:pt idx="81">
                  <c:v>1037.5468917833555</c:v>
                </c:pt>
                <c:pt idx="82">
                  <c:v>1036.1959380692947</c:v>
                </c:pt>
                <c:pt idx="83">
                  <c:v>1034.8449843552339</c:v>
                </c:pt>
                <c:pt idx="84">
                  <c:v>1033.4940306411731</c:v>
                </c:pt>
                <c:pt idx="85">
                  <c:v>1032.1430769271124</c:v>
                </c:pt>
                <c:pt idx="86">
                  <c:v>1030.7921232130516</c:v>
                </c:pt>
                <c:pt idx="87">
                  <c:v>1029.4411694989908</c:v>
                </c:pt>
                <c:pt idx="88">
                  <c:v>1028.09021578493</c:v>
                </c:pt>
                <c:pt idx="89">
                  <c:v>1026.7392620708692</c:v>
                </c:pt>
                <c:pt idx="90">
                  <c:v>1025.3883083568085</c:v>
                </c:pt>
                <c:pt idx="91">
                  <c:v>1024.0373546427477</c:v>
                </c:pt>
                <c:pt idx="92">
                  <c:v>1022.6864009286869</c:v>
                </c:pt>
                <c:pt idx="93">
                  <c:v>1021.3354472146261</c:v>
                </c:pt>
                <c:pt idx="94">
                  <c:v>1019.9844935005653</c:v>
                </c:pt>
                <c:pt idx="95">
                  <c:v>1018.6335397865046</c:v>
                </c:pt>
                <c:pt idx="96">
                  <c:v>1017.2825860724438</c:v>
                </c:pt>
                <c:pt idx="97">
                  <c:v>1015.931632358383</c:v>
                </c:pt>
                <c:pt idx="98">
                  <c:v>1014.5806786443222</c:v>
                </c:pt>
                <c:pt idx="99">
                  <c:v>1013.2297249302615</c:v>
                </c:pt>
                <c:pt idx="100">
                  <c:v>1011.8787712162007</c:v>
                </c:pt>
                <c:pt idx="101">
                  <c:v>1010.5278175021399</c:v>
                </c:pt>
                <c:pt idx="102">
                  <c:v>1009.1768637880791</c:v>
                </c:pt>
                <c:pt idx="103">
                  <c:v>1007.8259100740183</c:v>
                </c:pt>
                <c:pt idx="104">
                  <c:v>1006.4749563599576</c:v>
                </c:pt>
                <c:pt idx="105">
                  <c:v>1005.1240026458968</c:v>
                </c:pt>
                <c:pt idx="106">
                  <c:v>1003.773048931836</c:v>
                </c:pt>
                <c:pt idx="107">
                  <c:v>1002.4220952177752</c:v>
                </c:pt>
                <c:pt idx="108">
                  <c:v>1001.0711415037144</c:v>
                </c:pt>
                <c:pt idx="109">
                  <c:v>999.72018778965366</c:v>
                </c:pt>
                <c:pt idx="110">
                  <c:v>998.36923407559289</c:v>
                </c:pt>
                <c:pt idx="111">
                  <c:v>997.01828036153211</c:v>
                </c:pt>
                <c:pt idx="112">
                  <c:v>995.66732664747133</c:v>
                </c:pt>
                <c:pt idx="113">
                  <c:v>1183.4839999999999</c:v>
                </c:pt>
                <c:pt idx="114">
                  <c:v>1182.9973861330745</c:v>
                </c:pt>
                <c:pt idx="115">
                  <c:v>1182.5107722661492</c:v>
                </c:pt>
                <c:pt idx="116">
                  <c:v>1182.0241583992238</c:v>
                </c:pt>
                <c:pt idx="117">
                  <c:v>1181.5375445322984</c:v>
                </c:pt>
                <c:pt idx="118">
                  <c:v>1181.050930665373</c:v>
                </c:pt>
                <c:pt idx="119">
                  <c:v>1180.5643167984476</c:v>
                </c:pt>
                <c:pt idx="120">
                  <c:v>1180.0777029315223</c:v>
                </c:pt>
                <c:pt idx="121">
                  <c:v>1179.5910890645969</c:v>
                </c:pt>
                <c:pt idx="122">
                  <c:v>1179.1044751976715</c:v>
                </c:pt>
                <c:pt idx="123">
                  <c:v>1178.6178613307461</c:v>
                </c:pt>
                <c:pt idx="124">
                  <c:v>1178.1312474638207</c:v>
                </c:pt>
                <c:pt idx="125">
                  <c:v>1177.6446335968953</c:v>
                </c:pt>
                <c:pt idx="126">
                  <c:v>1177.15801972997</c:v>
                </c:pt>
                <c:pt idx="127">
                  <c:v>1176.6714058630446</c:v>
                </c:pt>
                <c:pt idx="128">
                  <c:v>1176.1847919961192</c:v>
                </c:pt>
                <c:pt idx="129">
                  <c:v>1175.6981781291938</c:v>
                </c:pt>
                <c:pt idx="130">
                  <c:v>1175.2115642622684</c:v>
                </c:pt>
                <c:pt idx="131">
                  <c:v>1174.7249503953431</c:v>
                </c:pt>
                <c:pt idx="132">
                  <c:v>1174.2383365284177</c:v>
                </c:pt>
                <c:pt idx="133">
                  <c:v>1173.7517226614923</c:v>
                </c:pt>
                <c:pt idx="134">
                  <c:v>1173.2651087945669</c:v>
                </c:pt>
                <c:pt idx="135">
                  <c:v>1172.7784949276415</c:v>
                </c:pt>
                <c:pt idx="136">
                  <c:v>1172.2918810607162</c:v>
                </c:pt>
                <c:pt idx="137">
                  <c:v>1171.8052671937908</c:v>
                </c:pt>
                <c:pt idx="138">
                  <c:v>1171.3186533268654</c:v>
                </c:pt>
                <c:pt idx="139">
                  <c:v>1170.83203945994</c:v>
                </c:pt>
                <c:pt idx="140">
                  <c:v>1170.3454255930146</c:v>
                </c:pt>
                <c:pt idx="141">
                  <c:v>1169.8588117260892</c:v>
                </c:pt>
                <c:pt idx="142">
                  <c:v>1169.3721978591639</c:v>
                </c:pt>
                <c:pt idx="143">
                  <c:v>1168.8855839922385</c:v>
                </c:pt>
                <c:pt idx="144">
                  <c:v>1168.3989701253131</c:v>
                </c:pt>
                <c:pt idx="145">
                  <c:v>1167.9123562583877</c:v>
                </c:pt>
                <c:pt idx="146">
                  <c:v>1167.4257423914623</c:v>
                </c:pt>
                <c:pt idx="147">
                  <c:v>1166.939128524537</c:v>
                </c:pt>
                <c:pt idx="148">
                  <c:v>1166.4525146576116</c:v>
                </c:pt>
                <c:pt idx="149">
                  <c:v>1165.9659007906862</c:v>
                </c:pt>
                <c:pt idx="150">
                  <c:v>1165.4792869237608</c:v>
                </c:pt>
                <c:pt idx="151">
                  <c:v>1164.9926730568354</c:v>
                </c:pt>
                <c:pt idx="152">
                  <c:v>1164.50605918991</c:v>
                </c:pt>
                <c:pt idx="153">
                  <c:v>1164.0194453229847</c:v>
                </c:pt>
                <c:pt idx="154">
                  <c:v>1163.5328314560593</c:v>
                </c:pt>
                <c:pt idx="155">
                  <c:v>1163.0462175891339</c:v>
                </c:pt>
                <c:pt idx="156">
                  <c:v>1162.5596037222085</c:v>
                </c:pt>
                <c:pt idx="157">
                  <c:v>1162.0729898552831</c:v>
                </c:pt>
                <c:pt idx="158">
                  <c:v>1161.5863759883578</c:v>
                </c:pt>
                <c:pt idx="159">
                  <c:v>1161.0997621214324</c:v>
                </c:pt>
                <c:pt idx="160">
                  <c:v>1160.613148254507</c:v>
                </c:pt>
                <c:pt idx="161">
                  <c:v>1160.1265343875816</c:v>
                </c:pt>
                <c:pt idx="162">
                  <c:v>1159.6399205206562</c:v>
                </c:pt>
                <c:pt idx="163">
                  <c:v>1159.1533066537309</c:v>
                </c:pt>
                <c:pt idx="164">
                  <c:v>1158.6666927868055</c:v>
                </c:pt>
                <c:pt idx="165">
                  <c:v>1158.1800789198801</c:v>
                </c:pt>
                <c:pt idx="166">
                  <c:v>1157.6934650529547</c:v>
                </c:pt>
                <c:pt idx="167">
                  <c:v>1156.3425113388939</c:v>
                </c:pt>
                <c:pt idx="168">
                  <c:v>1154.9915576248331</c:v>
                </c:pt>
                <c:pt idx="169">
                  <c:v>1153.6406039107724</c:v>
                </c:pt>
                <c:pt idx="170">
                  <c:v>1152.2896501967116</c:v>
                </c:pt>
                <c:pt idx="171">
                  <c:v>1150.9386964826508</c:v>
                </c:pt>
                <c:pt idx="172">
                  <c:v>1149.58774276859</c:v>
                </c:pt>
                <c:pt idx="173">
                  <c:v>1148.2367890545293</c:v>
                </c:pt>
                <c:pt idx="174">
                  <c:v>1146.8858353404685</c:v>
                </c:pt>
                <c:pt idx="175">
                  <c:v>1145.5348816264077</c:v>
                </c:pt>
                <c:pt idx="176">
                  <c:v>1144.1839279123469</c:v>
                </c:pt>
                <c:pt idx="177">
                  <c:v>1142.8329741982861</c:v>
                </c:pt>
                <c:pt idx="178">
                  <c:v>1141.4820204842254</c:v>
                </c:pt>
                <c:pt idx="179">
                  <c:v>1140.1310667701646</c:v>
                </c:pt>
                <c:pt idx="180">
                  <c:v>1138.7801130561038</c:v>
                </c:pt>
                <c:pt idx="181">
                  <c:v>1137.429159342043</c:v>
                </c:pt>
                <c:pt idx="182">
                  <c:v>1136.0782056279822</c:v>
                </c:pt>
                <c:pt idx="183">
                  <c:v>1134.7272519139215</c:v>
                </c:pt>
                <c:pt idx="184">
                  <c:v>1133.3762981998607</c:v>
                </c:pt>
                <c:pt idx="185">
                  <c:v>1132.0253444857999</c:v>
                </c:pt>
                <c:pt idx="186">
                  <c:v>1130.6743907717391</c:v>
                </c:pt>
                <c:pt idx="187">
                  <c:v>1129.3234370576783</c:v>
                </c:pt>
                <c:pt idx="188">
                  <c:v>1127.9724833436176</c:v>
                </c:pt>
                <c:pt idx="189">
                  <c:v>1126.6215296295568</c:v>
                </c:pt>
                <c:pt idx="190">
                  <c:v>1125.270575915496</c:v>
                </c:pt>
                <c:pt idx="191">
                  <c:v>1123.9196222014352</c:v>
                </c:pt>
                <c:pt idx="192">
                  <c:v>1122.5686684873745</c:v>
                </c:pt>
                <c:pt idx="193">
                  <c:v>1121.2177147733137</c:v>
                </c:pt>
                <c:pt idx="194">
                  <c:v>1119.8667610592529</c:v>
                </c:pt>
                <c:pt idx="195">
                  <c:v>1118.5158073451921</c:v>
                </c:pt>
                <c:pt idx="196">
                  <c:v>1117.1648536311313</c:v>
                </c:pt>
                <c:pt idx="197">
                  <c:v>1115.8138999170706</c:v>
                </c:pt>
                <c:pt idx="198">
                  <c:v>1114.4629462030098</c:v>
                </c:pt>
                <c:pt idx="199">
                  <c:v>1113.111992488949</c:v>
                </c:pt>
                <c:pt idx="200">
                  <c:v>1111.7610387748882</c:v>
                </c:pt>
                <c:pt idx="201">
                  <c:v>1110.4100850608274</c:v>
                </c:pt>
                <c:pt idx="202">
                  <c:v>1109.0591313467667</c:v>
                </c:pt>
                <c:pt idx="203">
                  <c:v>1107.7081776327059</c:v>
                </c:pt>
                <c:pt idx="204">
                  <c:v>1106.3572239186451</c:v>
                </c:pt>
                <c:pt idx="205">
                  <c:v>1105.0062702045843</c:v>
                </c:pt>
                <c:pt idx="206">
                  <c:v>1103.6553164905235</c:v>
                </c:pt>
                <c:pt idx="207">
                  <c:v>1102.3043627764628</c:v>
                </c:pt>
                <c:pt idx="208">
                  <c:v>1100.953409062402</c:v>
                </c:pt>
                <c:pt idx="209">
                  <c:v>1099.6024553483412</c:v>
                </c:pt>
                <c:pt idx="210">
                  <c:v>1098.2515016342804</c:v>
                </c:pt>
                <c:pt idx="211">
                  <c:v>1096.9005479202197</c:v>
                </c:pt>
                <c:pt idx="212">
                  <c:v>1095.5495942061589</c:v>
                </c:pt>
                <c:pt idx="213">
                  <c:v>1094.1986404920981</c:v>
                </c:pt>
                <c:pt idx="214">
                  <c:v>1092.8476867780373</c:v>
                </c:pt>
                <c:pt idx="215">
                  <c:v>1091.4967330639765</c:v>
                </c:pt>
                <c:pt idx="216">
                  <c:v>1090.1457793499158</c:v>
                </c:pt>
                <c:pt idx="217">
                  <c:v>1088.794825635855</c:v>
                </c:pt>
                <c:pt idx="218">
                  <c:v>1087.4438719217942</c:v>
                </c:pt>
                <c:pt idx="219">
                  <c:v>1086.0929182077334</c:v>
                </c:pt>
                <c:pt idx="220">
                  <c:v>1084.7419644936726</c:v>
                </c:pt>
                <c:pt idx="221">
                  <c:v>1083.3910107796119</c:v>
                </c:pt>
                <c:pt idx="222">
                  <c:v>1082.0400570655511</c:v>
                </c:pt>
                <c:pt idx="223">
                  <c:v>1080.6891033514903</c:v>
                </c:pt>
                <c:pt idx="224">
                  <c:v>1079.3381496374295</c:v>
                </c:pt>
                <c:pt idx="225">
                  <c:v>1077.9871959233687</c:v>
                </c:pt>
                <c:pt idx="226">
                  <c:v>1076.636242209308</c:v>
                </c:pt>
                <c:pt idx="227">
                  <c:v>1075.2852884952472</c:v>
                </c:pt>
                <c:pt idx="228">
                  <c:v>1073.9343347811864</c:v>
                </c:pt>
                <c:pt idx="229">
                  <c:v>1072.5833810671256</c:v>
                </c:pt>
                <c:pt idx="230">
                  <c:v>1071.2324273530648</c:v>
                </c:pt>
                <c:pt idx="231">
                  <c:v>1069.8814736390041</c:v>
                </c:pt>
                <c:pt idx="232">
                  <c:v>1068.5305199249433</c:v>
                </c:pt>
                <c:pt idx="233">
                  <c:v>1067.1795662108825</c:v>
                </c:pt>
                <c:pt idx="234">
                  <c:v>1065.8286124968217</c:v>
                </c:pt>
                <c:pt idx="235">
                  <c:v>1064.477658782761</c:v>
                </c:pt>
                <c:pt idx="236">
                  <c:v>1063.1267050687002</c:v>
                </c:pt>
                <c:pt idx="237">
                  <c:v>1061.7757513546394</c:v>
                </c:pt>
                <c:pt idx="238">
                  <c:v>1060.4247976405786</c:v>
                </c:pt>
                <c:pt idx="239">
                  <c:v>1059.0738439265178</c:v>
                </c:pt>
                <c:pt idx="240">
                  <c:v>1057.7228902124571</c:v>
                </c:pt>
                <c:pt idx="241">
                  <c:v>1056.3719364983963</c:v>
                </c:pt>
                <c:pt idx="242">
                  <c:v>1055.0209827843355</c:v>
                </c:pt>
                <c:pt idx="243">
                  <c:v>1053.6700290702747</c:v>
                </c:pt>
                <c:pt idx="244">
                  <c:v>1052.3190753562139</c:v>
                </c:pt>
                <c:pt idx="245">
                  <c:v>1050.9681216421532</c:v>
                </c:pt>
                <c:pt idx="246">
                  <c:v>1049.6171679280924</c:v>
                </c:pt>
                <c:pt idx="247">
                  <c:v>1048.2662142140316</c:v>
                </c:pt>
                <c:pt idx="248">
                  <c:v>1046.9152604999708</c:v>
                </c:pt>
                <c:pt idx="249">
                  <c:v>1045.56430678591</c:v>
                </c:pt>
                <c:pt idx="250">
                  <c:v>1044.2133530718493</c:v>
                </c:pt>
                <c:pt idx="251">
                  <c:v>1042.8623993577885</c:v>
                </c:pt>
                <c:pt idx="252">
                  <c:v>1041.5114456437277</c:v>
                </c:pt>
                <c:pt idx="253">
                  <c:v>1038.0851141781684</c:v>
                </c:pt>
                <c:pt idx="254">
                  <c:v>1034.6587827126091</c:v>
                </c:pt>
                <c:pt idx="255">
                  <c:v>1031.2324512470498</c:v>
                </c:pt>
                <c:pt idx="256">
                  <c:v>1027.8061197814905</c:v>
                </c:pt>
                <c:pt idx="257">
                  <c:v>1024.3797883159311</c:v>
                </c:pt>
                <c:pt idx="258">
                  <c:v>1020.9534568503719</c:v>
                </c:pt>
                <c:pt idx="259">
                  <c:v>921.13099999999997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Hydraulics!$AE$4:$AE$263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1077.874354336426</c:v>
                </c:pt>
                <c:pt idx="2">
                  <c:v>1076.730708672852</c:v>
                </c:pt>
                <c:pt idx="3">
                  <c:v>1125.5870630092779</c:v>
                </c:pt>
                <c:pt idx="4">
                  <c:v>1124.4434173457039</c:v>
                </c:pt>
                <c:pt idx="5">
                  <c:v>1123.2997716821299</c:v>
                </c:pt>
                <c:pt idx="6">
                  <c:v>1122.1561260185558</c:v>
                </c:pt>
                <c:pt idx="7">
                  <c:v>1121.0124803549818</c:v>
                </c:pt>
                <c:pt idx="8">
                  <c:v>1119.8688346914078</c:v>
                </c:pt>
                <c:pt idx="9">
                  <c:v>1118.7251890278337</c:v>
                </c:pt>
                <c:pt idx="10">
                  <c:v>1111.67</c:v>
                </c:pt>
                <c:pt idx="11">
                  <c:v>1110.526354336426</c:v>
                </c:pt>
                <c:pt idx="12">
                  <c:v>1109.382708672852</c:v>
                </c:pt>
                <c:pt idx="13">
                  <c:v>1108.239063009278</c:v>
                </c:pt>
                <c:pt idx="14">
                  <c:v>1107.0954173457039</c:v>
                </c:pt>
                <c:pt idx="15">
                  <c:v>1105.9517716821299</c:v>
                </c:pt>
                <c:pt idx="16">
                  <c:v>1104.8081260185559</c:v>
                </c:pt>
                <c:pt idx="17">
                  <c:v>1103.6644803549818</c:v>
                </c:pt>
                <c:pt idx="18">
                  <c:v>1102.5208346914078</c:v>
                </c:pt>
                <c:pt idx="19">
                  <c:v>1101.3771890278338</c:v>
                </c:pt>
                <c:pt idx="20">
                  <c:v>1100.2335433642597</c:v>
                </c:pt>
                <c:pt idx="21">
                  <c:v>1099.0898977006857</c:v>
                </c:pt>
                <c:pt idx="22">
                  <c:v>1097.9462520371117</c:v>
                </c:pt>
                <c:pt idx="23">
                  <c:v>1096.8026063735376</c:v>
                </c:pt>
                <c:pt idx="24">
                  <c:v>1095.6589607099636</c:v>
                </c:pt>
                <c:pt idx="25">
                  <c:v>1094.5153150463896</c:v>
                </c:pt>
                <c:pt idx="26">
                  <c:v>1093.3716693828155</c:v>
                </c:pt>
                <c:pt idx="27">
                  <c:v>1092.2280237192415</c:v>
                </c:pt>
                <c:pt idx="28">
                  <c:v>1091.0843780556675</c:v>
                </c:pt>
                <c:pt idx="29">
                  <c:v>1089.9407323920934</c:v>
                </c:pt>
                <c:pt idx="30">
                  <c:v>1088.7970867285194</c:v>
                </c:pt>
                <c:pt idx="31">
                  <c:v>1087.6534410649454</c:v>
                </c:pt>
                <c:pt idx="32">
                  <c:v>1086.5097954013713</c:v>
                </c:pt>
                <c:pt idx="33">
                  <c:v>1085.3661497377973</c:v>
                </c:pt>
                <c:pt idx="34">
                  <c:v>1084.2225040742233</c:v>
                </c:pt>
                <c:pt idx="35">
                  <c:v>1083.0788584106492</c:v>
                </c:pt>
                <c:pt idx="36">
                  <c:v>1081.9352127470752</c:v>
                </c:pt>
                <c:pt idx="37">
                  <c:v>1080.7915670835011</c:v>
                </c:pt>
                <c:pt idx="38">
                  <c:v>1079.6479214199271</c:v>
                </c:pt>
                <c:pt idx="39">
                  <c:v>1078.5042757563531</c:v>
                </c:pt>
                <c:pt idx="40">
                  <c:v>1077.360630092779</c:v>
                </c:pt>
                <c:pt idx="41">
                  <c:v>1076.216984429205</c:v>
                </c:pt>
                <c:pt idx="42">
                  <c:v>1075.073338765631</c:v>
                </c:pt>
                <c:pt idx="43">
                  <c:v>1073.9296931020569</c:v>
                </c:pt>
                <c:pt idx="44">
                  <c:v>1072.7860474384829</c:v>
                </c:pt>
                <c:pt idx="45">
                  <c:v>1071.6424017749089</c:v>
                </c:pt>
                <c:pt idx="46">
                  <c:v>1070.4987561113348</c:v>
                </c:pt>
                <c:pt idx="47">
                  <c:v>1069.3551104477608</c:v>
                </c:pt>
                <c:pt idx="48">
                  <c:v>1068.2114647841868</c:v>
                </c:pt>
                <c:pt idx="49">
                  <c:v>1067.0678191206127</c:v>
                </c:pt>
                <c:pt idx="50">
                  <c:v>1065.9241734570387</c:v>
                </c:pt>
                <c:pt idx="51">
                  <c:v>1064.7805277934647</c:v>
                </c:pt>
                <c:pt idx="52">
                  <c:v>1063.6368821298906</c:v>
                </c:pt>
                <c:pt idx="53">
                  <c:v>1062.4932364663166</c:v>
                </c:pt>
                <c:pt idx="54">
                  <c:v>1061.3495908027426</c:v>
                </c:pt>
                <c:pt idx="55">
                  <c:v>1060.2059451391685</c:v>
                </c:pt>
                <c:pt idx="56">
                  <c:v>1059.0622994755945</c:v>
                </c:pt>
                <c:pt idx="57">
                  <c:v>1057.9186538120205</c:v>
                </c:pt>
                <c:pt idx="58">
                  <c:v>1056.7750081484464</c:v>
                </c:pt>
                <c:pt idx="59">
                  <c:v>1055.6313624848724</c:v>
                </c:pt>
                <c:pt idx="60">
                  <c:v>1054.4877168212984</c:v>
                </c:pt>
                <c:pt idx="61">
                  <c:v>1053.3440711577243</c:v>
                </c:pt>
                <c:pt idx="62">
                  <c:v>1052.2004254941503</c:v>
                </c:pt>
                <c:pt idx="63">
                  <c:v>1051.0567798305763</c:v>
                </c:pt>
                <c:pt idx="64">
                  <c:v>1049.9131341670022</c:v>
                </c:pt>
                <c:pt idx="65">
                  <c:v>1048.7694885034282</c:v>
                </c:pt>
                <c:pt idx="66">
                  <c:v>1047.6258428398542</c:v>
                </c:pt>
                <c:pt idx="67">
                  <c:v>1046.4821971762801</c:v>
                </c:pt>
                <c:pt idx="68">
                  <c:v>1045.3385515127061</c:v>
                </c:pt>
                <c:pt idx="69">
                  <c:v>1044.1949058491321</c:v>
                </c:pt>
                <c:pt idx="70">
                  <c:v>1043.051260185558</c:v>
                </c:pt>
                <c:pt idx="71">
                  <c:v>1041.907614521984</c:v>
                </c:pt>
                <c:pt idx="72">
                  <c:v>1040.76396885841</c:v>
                </c:pt>
                <c:pt idx="73">
                  <c:v>1039.6203231948359</c:v>
                </c:pt>
                <c:pt idx="74">
                  <c:v>1038.4766775312619</c:v>
                </c:pt>
                <c:pt idx="75">
                  <c:v>1037.3330318676879</c:v>
                </c:pt>
                <c:pt idx="76">
                  <c:v>1036.1893862041138</c:v>
                </c:pt>
                <c:pt idx="77">
                  <c:v>1035.0457405405398</c:v>
                </c:pt>
                <c:pt idx="78">
                  <c:v>1033.5380713166298</c:v>
                </c:pt>
                <c:pt idx="79">
                  <c:v>1032.0304020927199</c:v>
                </c:pt>
                <c:pt idx="80">
                  <c:v>1030.52273286881</c:v>
                </c:pt>
                <c:pt idx="81">
                  <c:v>1029.0150636449</c:v>
                </c:pt>
                <c:pt idx="82">
                  <c:v>1027.5073944209901</c:v>
                </c:pt>
                <c:pt idx="83">
                  <c:v>1025.9997251970801</c:v>
                </c:pt>
                <c:pt idx="84">
                  <c:v>1024.4920559731702</c:v>
                </c:pt>
                <c:pt idx="85">
                  <c:v>1022.9843867492601</c:v>
                </c:pt>
                <c:pt idx="86">
                  <c:v>1021.4767175253501</c:v>
                </c:pt>
                <c:pt idx="87">
                  <c:v>1019.96904830144</c:v>
                </c:pt>
                <c:pt idx="88">
                  <c:v>1018.46137907753</c:v>
                </c:pt>
                <c:pt idx="89">
                  <c:v>1016.9537098536199</c:v>
                </c:pt>
                <c:pt idx="90">
                  <c:v>1015.4460406297098</c:v>
                </c:pt>
                <c:pt idx="91">
                  <c:v>1013.9383714057998</c:v>
                </c:pt>
                <c:pt idx="92">
                  <c:v>1012.4307021818897</c:v>
                </c:pt>
                <c:pt idx="93">
                  <c:v>1010.9230329579797</c:v>
                </c:pt>
                <c:pt idx="94">
                  <c:v>1009.4153637340696</c:v>
                </c:pt>
                <c:pt idx="95">
                  <c:v>1007.9076945101596</c:v>
                </c:pt>
                <c:pt idx="96">
                  <c:v>1006.4000252862495</c:v>
                </c:pt>
                <c:pt idx="97">
                  <c:v>1004.8923560623394</c:v>
                </c:pt>
                <c:pt idx="98">
                  <c:v>1003.3846868384294</c:v>
                </c:pt>
                <c:pt idx="99">
                  <c:v>1001.8770176145193</c:v>
                </c:pt>
                <c:pt idx="100">
                  <c:v>1000.3693483906093</c:v>
                </c:pt>
                <c:pt idx="101">
                  <c:v>998.86167916669922</c:v>
                </c:pt>
                <c:pt idx="102">
                  <c:v>997.35400994278916</c:v>
                </c:pt>
                <c:pt idx="103">
                  <c:v>995.84634071887911</c:v>
                </c:pt>
                <c:pt idx="104">
                  <c:v>994.33867149496905</c:v>
                </c:pt>
                <c:pt idx="105">
                  <c:v>992.83100227105899</c:v>
                </c:pt>
                <c:pt idx="106">
                  <c:v>991.32333304714894</c:v>
                </c:pt>
                <c:pt idx="107">
                  <c:v>989.81566382323888</c:v>
                </c:pt>
                <c:pt idx="108">
                  <c:v>988.30799459932882</c:v>
                </c:pt>
                <c:pt idx="109">
                  <c:v>986.80032537541877</c:v>
                </c:pt>
                <c:pt idx="110">
                  <c:v>985.29265615150871</c:v>
                </c:pt>
                <c:pt idx="111">
                  <c:v>983.78498692759865</c:v>
                </c:pt>
                <c:pt idx="112">
                  <c:v>982.2773177036886</c:v>
                </c:pt>
                <c:pt idx="113">
                  <c:v>1183.4839999999999</c:v>
                </c:pt>
                <c:pt idx="114">
                  <c:v>1182.9427267002034</c:v>
                </c:pt>
                <c:pt idx="115">
                  <c:v>1182.4014534004068</c:v>
                </c:pt>
                <c:pt idx="116">
                  <c:v>1181.8601801006103</c:v>
                </c:pt>
                <c:pt idx="117">
                  <c:v>1181.3189068008137</c:v>
                </c:pt>
                <c:pt idx="118">
                  <c:v>1180.7776335010171</c:v>
                </c:pt>
                <c:pt idx="119">
                  <c:v>1180.2363602012206</c:v>
                </c:pt>
                <c:pt idx="120">
                  <c:v>1179.695086901424</c:v>
                </c:pt>
                <c:pt idx="121">
                  <c:v>1179.1538136016275</c:v>
                </c:pt>
                <c:pt idx="122">
                  <c:v>1178.6125403018309</c:v>
                </c:pt>
                <c:pt idx="123">
                  <c:v>1178.0712670020343</c:v>
                </c:pt>
                <c:pt idx="124">
                  <c:v>1177.5299937022378</c:v>
                </c:pt>
                <c:pt idx="125">
                  <c:v>1176.9887204024412</c:v>
                </c:pt>
                <c:pt idx="126">
                  <c:v>1176.4474471026447</c:v>
                </c:pt>
                <c:pt idx="127">
                  <c:v>1175.9061738028481</c:v>
                </c:pt>
                <c:pt idx="128">
                  <c:v>1175.3649005030516</c:v>
                </c:pt>
                <c:pt idx="129">
                  <c:v>1174.823627203255</c:v>
                </c:pt>
                <c:pt idx="130">
                  <c:v>1174.2823539034584</c:v>
                </c:pt>
                <c:pt idx="131">
                  <c:v>1173.7410806036619</c:v>
                </c:pt>
                <c:pt idx="132">
                  <c:v>1173.1998073038653</c:v>
                </c:pt>
                <c:pt idx="133">
                  <c:v>1172.6585340040688</c:v>
                </c:pt>
                <c:pt idx="134">
                  <c:v>1172.1172607042722</c:v>
                </c:pt>
                <c:pt idx="135">
                  <c:v>1171.5759874044757</c:v>
                </c:pt>
                <c:pt idx="136">
                  <c:v>1171.0347141046791</c:v>
                </c:pt>
                <c:pt idx="137">
                  <c:v>1170.4934408048825</c:v>
                </c:pt>
                <c:pt idx="138">
                  <c:v>1169.952167505086</c:v>
                </c:pt>
                <c:pt idx="139">
                  <c:v>1169.4108942052894</c:v>
                </c:pt>
                <c:pt idx="140">
                  <c:v>1168.8696209054929</c:v>
                </c:pt>
                <c:pt idx="141">
                  <c:v>1168.3283476056963</c:v>
                </c:pt>
                <c:pt idx="142">
                  <c:v>1167.7870743058998</c:v>
                </c:pt>
                <c:pt idx="143">
                  <c:v>1167.2458010061032</c:v>
                </c:pt>
                <c:pt idx="144">
                  <c:v>1166.7045277063066</c:v>
                </c:pt>
                <c:pt idx="145">
                  <c:v>1166.1632544065101</c:v>
                </c:pt>
                <c:pt idx="146">
                  <c:v>1165.6219811067135</c:v>
                </c:pt>
                <c:pt idx="147">
                  <c:v>1165.080707806917</c:v>
                </c:pt>
                <c:pt idx="148">
                  <c:v>1164.5394345071204</c:v>
                </c:pt>
                <c:pt idx="149">
                  <c:v>1163.9981612073238</c:v>
                </c:pt>
                <c:pt idx="150">
                  <c:v>1163.4568879075273</c:v>
                </c:pt>
                <c:pt idx="151">
                  <c:v>1162.9156146077307</c:v>
                </c:pt>
                <c:pt idx="152">
                  <c:v>1162.3743413079342</c:v>
                </c:pt>
                <c:pt idx="153">
                  <c:v>1161.8330680081376</c:v>
                </c:pt>
                <c:pt idx="154">
                  <c:v>1161.2917947083411</c:v>
                </c:pt>
                <c:pt idx="155">
                  <c:v>1160.7505214085445</c:v>
                </c:pt>
                <c:pt idx="156">
                  <c:v>1160.2092481087479</c:v>
                </c:pt>
                <c:pt idx="157">
                  <c:v>1159.6679748089514</c:v>
                </c:pt>
                <c:pt idx="158">
                  <c:v>1159.1267015091548</c:v>
                </c:pt>
                <c:pt idx="159">
                  <c:v>1158.5854282093583</c:v>
                </c:pt>
                <c:pt idx="160">
                  <c:v>1158.0441549095617</c:v>
                </c:pt>
                <c:pt idx="161">
                  <c:v>1157.5028816097652</c:v>
                </c:pt>
                <c:pt idx="162">
                  <c:v>1156.9616083099686</c:v>
                </c:pt>
                <c:pt idx="163">
                  <c:v>1156.420335010172</c:v>
                </c:pt>
                <c:pt idx="164">
                  <c:v>1155.8790617103755</c:v>
                </c:pt>
                <c:pt idx="165">
                  <c:v>1155.3377884105789</c:v>
                </c:pt>
                <c:pt idx="166">
                  <c:v>1154.7965151107824</c:v>
                </c:pt>
                <c:pt idx="167">
                  <c:v>1153.2888458868724</c:v>
                </c:pt>
                <c:pt idx="168">
                  <c:v>1151.7811766629625</c:v>
                </c:pt>
                <c:pt idx="169">
                  <c:v>1150.2735074390525</c:v>
                </c:pt>
                <c:pt idx="170">
                  <c:v>1148.7658382151426</c:v>
                </c:pt>
                <c:pt idx="171">
                  <c:v>1147.2581689912327</c:v>
                </c:pt>
                <c:pt idx="172">
                  <c:v>1145.7504997673227</c:v>
                </c:pt>
                <c:pt idx="173">
                  <c:v>1144.2428305434128</c:v>
                </c:pt>
                <c:pt idx="174">
                  <c:v>1142.7351613195028</c:v>
                </c:pt>
                <c:pt idx="175">
                  <c:v>1141.2274920955929</c:v>
                </c:pt>
                <c:pt idx="176">
                  <c:v>1139.7198228716829</c:v>
                </c:pt>
                <c:pt idx="177">
                  <c:v>1138.212153647773</c:v>
                </c:pt>
                <c:pt idx="178">
                  <c:v>1136.7044844238631</c:v>
                </c:pt>
                <c:pt idx="179">
                  <c:v>1135.1968151999531</c:v>
                </c:pt>
                <c:pt idx="180">
                  <c:v>1133.6891459760432</c:v>
                </c:pt>
                <c:pt idx="181">
                  <c:v>1132.1814767521332</c:v>
                </c:pt>
                <c:pt idx="182">
                  <c:v>1130.6738075282233</c:v>
                </c:pt>
                <c:pt idx="183">
                  <c:v>1129.1661383043133</c:v>
                </c:pt>
                <c:pt idx="184">
                  <c:v>1127.6584690804034</c:v>
                </c:pt>
                <c:pt idx="185">
                  <c:v>1126.1507998564934</c:v>
                </c:pt>
                <c:pt idx="186">
                  <c:v>1124.6431306325835</c:v>
                </c:pt>
                <c:pt idx="187">
                  <c:v>1123.1354614086736</c:v>
                </c:pt>
                <c:pt idx="188">
                  <c:v>1121.6277921847636</c:v>
                </c:pt>
                <c:pt idx="189">
                  <c:v>1120.1201229608537</c:v>
                </c:pt>
                <c:pt idx="190">
                  <c:v>1118.6124537369437</c:v>
                </c:pt>
                <c:pt idx="191">
                  <c:v>1117.1047845130338</c:v>
                </c:pt>
                <c:pt idx="192">
                  <c:v>1115.5971152891238</c:v>
                </c:pt>
                <c:pt idx="193">
                  <c:v>1114.0894460652139</c:v>
                </c:pt>
                <c:pt idx="194">
                  <c:v>1112.581776841304</c:v>
                </c:pt>
                <c:pt idx="195">
                  <c:v>1111.074107617394</c:v>
                </c:pt>
                <c:pt idx="196">
                  <c:v>1109.5664383934841</c:v>
                </c:pt>
                <c:pt idx="197">
                  <c:v>1108.0587691695741</c:v>
                </c:pt>
                <c:pt idx="198">
                  <c:v>1106.5510999456642</c:v>
                </c:pt>
                <c:pt idx="199">
                  <c:v>1105.0434307217542</c:v>
                </c:pt>
                <c:pt idx="200">
                  <c:v>1103.5357614978443</c:v>
                </c:pt>
                <c:pt idx="201">
                  <c:v>1102.0280922739344</c:v>
                </c:pt>
                <c:pt idx="202">
                  <c:v>1100.5204230500244</c:v>
                </c:pt>
                <c:pt idx="203">
                  <c:v>1099.0127538261145</c:v>
                </c:pt>
                <c:pt idx="204">
                  <c:v>1097.5050846022045</c:v>
                </c:pt>
                <c:pt idx="205">
                  <c:v>1095.9974153782946</c:v>
                </c:pt>
                <c:pt idx="206">
                  <c:v>1094.4897461543846</c:v>
                </c:pt>
                <c:pt idx="207">
                  <c:v>1092.9820769304747</c:v>
                </c:pt>
                <c:pt idx="208">
                  <c:v>1091.4744077065648</c:v>
                </c:pt>
                <c:pt idx="209">
                  <c:v>1089.9667384826548</c:v>
                </c:pt>
                <c:pt idx="210">
                  <c:v>1088.4590692587449</c:v>
                </c:pt>
                <c:pt idx="211">
                  <c:v>1086.9514000348349</c:v>
                </c:pt>
                <c:pt idx="212">
                  <c:v>1085.443730810925</c:v>
                </c:pt>
                <c:pt idx="213">
                  <c:v>1083.936061587015</c:v>
                </c:pt>
                <c:pt idx="214">
                  <c:v>1082.4283923631051</c:v>
                </c:pt>
                <c:pt idx="215">
                  <c:v>1080.9207231391952</c:v>
                </c:pt>
                <c:pt idx="216">
                  <c:v>1079.4130539152852</c:v>
                </c:pt>
                <c:pt idx="217">
                  <c:v>1077.9053846913753</c:v>
                </c:pt>
                <c:pt idx="218">
                  <c:v>1076.3977154674653</c:v>
                </c:pt>
                <c:pt idx="219">
                  <c:v>1074.8900462435554</c:v>
                </c:pt>
                <c:pt idx="220">
                  <c:v>1073.3823770196454</c:v>
                </c:pt>
                <c:pt idx="221">
                  <c:v>1071.8747077957355</c:v>
                </c:pt>
                <c:pt idx="222">
                  <c:v>1070.3670385718256</c:v>
                </c:pt>
                <c:pt idx="223">
                  <c:v>1068.8593693479156</c:v>
                </c:pt>
                <c:pt idx="224">
                  <c:v>1067.3517001240057</c:v>
                </c:pt>
                <c:pt idx="225">
                  <c:v>1065.8440309000957</c:v>
                </c:pt>
                <c:pt idx="226">
                  <c:v>1064.3363616761858</c:v>
                </c:pt>
                <c:pt idx="227">
                  <c:v>1062.8286924522758</c:v>
                </c:pt>
                <c:pt idx="228">
                  <c:v>1061.3210232283659</c:v>
                </c:pt>
                <c:pt idx="229">
                  <c:v>1059.813354004456</c:v>
                </c:pt>
                <c:pt idx="230">
                  <c:v>1058.305684780546</c:v>
                </c:pt>
                <c:pt idx="231">
                  <c:v>1056.7980155566361</c:v>
                </c:pt>
                <c:pt idx="232">
                  <c:v>1055.2903463327261</c:v>
                </c:pt>
                <c:pt idx="233">
                  <c:v>1053.7826771088162</c:v>
                </c:pt>
                <c:pt idx="234">
                  <c:v>1052.2750078849062</c:v>
                </c:pt>
                <c:pt idx="235">
                  <c:v>1050.7673386609963</c:v>
                </c:pt>
                <c:pt idx="236">
                  <c:v>1049.2596694370864</c:v>
                </c:pt>
                <c:pt idx="237">
                  <c:v>1047.7520002131764</c:v>
                </c:pt>
                <c:pt idx="238">
                  <c:v>1046.2443309892665</c:v>
                </c:pt>
                <c:pt idx="239">
                  <c:v>1044.7366617653565</c:v>
                </c:pt>
                <c:pt idx="240">
                  <c:v>1043.2289925414466</c:v>
                </c:pt>
                <c:pt idx="241">
                  <c:v>1041.7213233175366</c:v>
                </c:pt>
                <c:pt idx="242">
                  <c:v>1040.2136540936267</c:v>
                </c:pt>
                <c:pt idx="243">
                  <c:v>1038.7059848697168</c:v>
                </c:pt>
                <c:pt idx="244">
                  <c:v>1037.1983156458068</c:v>
                </c:pt>
                <c:pt idx="245">
                  <c:v>1035.6906464218969</c:v>
                </c:pt>
                <c:pt idx="246">
                  <c:v>1034.1829771979869</c:v>
                </c:pt>
                <c:pt idx="247">
                  <c:v>1032.675307974077</c:v>
                </c:pt>
                <c:pt idx="248">
                  <c:v>1031.167638750167</c:v>
                </c:pt>
                <c:pt idx="249">
                  <c:v>1029.6599695262571</c:v>
                </c:pt>
                <c:pt idx="250">
                  <c:v>1028.1523003023472</c:v>
                </c:pt>
                <c:pt idx="251">
                  <c:v>1026.6446310784372</c:v>
                </c:pt>
                <c:pt idx="252">
                  <c:v>1025.1369618545273</c:v>
                </c:pt>
                <c:pt idx="253">
                  <c:v>1021.3022650078163</c:v>
                </c:pt>
                <c:pt idx="254">
                  <c:v>1017.4675681611054</c:v>
                </c:pt>
                <c:pt idx="255">
                  <c:v>1013.6328713143945</c:v>
                </c:pt>
                <c:pt idx="256">
                  <c:v>1009.7981744676836</c:v>
                </c:pt>
                <c:pt idx="257">
                  <c:v>1005.9634776209726</c:v>
                </c:pt>
                <c:pt idx="258">
                  <c:v>1002.1287807742617</c:v>
                </c:pt>
                <c:pt idx="259">
                  <c:v>921.13099999999997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Hydraulics!$AL$4:$AL$263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1077.6820183126424</c:v>
                </c:pt>
                <c:pt idx="2">
                  <c:v>1076.3460366252848</c:v>
                </c:pt>
                <c:pt idx="3">
                  <c:v>1125.0100549379272</c:v>
                </c:pt>
                <c:pt idx="4">
                  <c:v>1123.6740732505696</c:v>
                </c:pt>
                <c:pt idx="5">
                  <c:v>1122.3380915632119</c:v>
                </c:pt>
                <c:pt idx="6">
                  <c:v>1121.0021098758543</c:v>
                </c:pt>
                <c:pt idx="7">
                  <c:v>1119.6661281884967</c:v>
                </c:pt>
                <c:pt idx="8">
                  <c:v>1118.3301465011391</c:v>
                </c:pt>
                <c:pt idx="9">
                  <c:v>1116.9941648137815</c:v>
                </c:pt>
                <c:pt idx="10">
                  <c:v>1111.67</c:v>
                </c:pt>
                <c:pt idx="11">
                  <c:v>1110.3340183126425</c:v>
                </c:pt>
                <c:pt idx="12">
                  <c:v>1108.9980366252848</c:v>
                </c:pt>
                <c:pt idx="13">
                  <c:v>1107.6620549379272</c:v>
                </c:pt>
                <c:pt idx="14">
                  <c:v>1106.3260732505696</c:v>
                </c:pt>
                <c:pt idx="15">
                  <c:v>1104.990091563212</c:v>
                </c:pt>
                <c:pt idx="16">
                  <c:v>1103.6541098758544</c:v>
                </c:pt>
                <c:pt idx="17">
                  <c:v>1102.3181281884968</c:v>
                </c:pt>
                <c:pt idx="18">
                  <c:v>1100.9821465011391</c:v>
                </c:pt>
                <c:pt idx="19">
                  <c:v>1099.6461648137815</c:v>
                </c:pt>
                <c:pt idx="20">
                  <c:v>1098.3101831264239</c:v>
                </c:pt>
                <c:pt idx="21">
                  <c:v>1096.9742014390663</c:v>
                </c:pt>
                <c:pt idx="22">
                  <c:v>1095.6382197517087</c:v>
                </c:pt>
                <c:pt idx="23">
                  <c:v>1094.3022380643511</c:v>
                </c:pt>
                <c:pt idx="24">
                  <c:v>1092.9662563769934</c:v>
                </c:pt>
                <c:pt idx="25">
                  <c:v>1091.6302746896358</c:v>
                </c:pt>
                <c:pt idx="26">
                  <c:v>1090.2942930022782</c:v>
                </c:pt>
                <c:pt idx="27">
                  <c:v>1088.9583113149206</c:v>
                </c:pt>
                <c:pt idx="28">
                  <c:v>1087.622329627563</c:v>
                </c:pt>
                <c:pt idx="29">
                  <c:v>1086.2863479402054</c:v>
                </c:pt>
                <c:pt idx="30">
                  <c:v>1084.9503662528477</c:v>
                </c:pt>
                <c:pt idx="31">
                  <c:v>1083.6143845654901</c:v>
                </c:pt>
                <c:pt idx="32">
                  <c:v>1082.2784028781325</c:v>
                </c:pt>
                <c:pt idx="33">
                  <c:v>1080.9424211907749</c:v>
                </c:pt>
                <c:pt idx="34">
                  <c:v>1079.6064395034173</c:v>
                </c:pt>
                <c:pt idx="35">
                  <c:v>1078.2704578160597</c:v>
                </c:pt>
                <c:pt idx="36">
                  <c:v>1076.934476128702</c:v>
                </c:pt>
                <c:pt idx="37">
                  <c:v>1075.5984944413444</c:v>
                </c:pt>
                <c:pt idx="38">
                  <c:v>1074.2625127539868</c:v>
                </c:pt>
                <c:pt idx="39">
                  <c:v>1072.9265310666292</c:v>
                </c:pt>
                <c:pt idx="40">
                  <c:v>1071.5905493792716</c:v>
                </c:pt>
                <c:pt idx="41">
                  <c:v>1070.254567691914</c:v>
                </c:pt>
                <c:pt idx="42">
                  <c:v>1068.9185860045563</c:v>
                </c:pt>
                <c:pt idx="43">
                  <c:v>1067.5826043171987</c:v>
                </c:pt>
                <c:pt idx="44">
                  <c:v>1066.2466226298411</c:v>
                </c:pt>
                <c:pt idx="45">
                  <c:v>1064.9106409424835</c:v>
                </c:pt>
                <c:pt idx="46">
                  <c:v>1063.5746592551259</c:v>
                </c:pt>
                <c:pt idx="47">
                  <c:v>1062.2386775677683</c:v>
                </c:pt>
                <c:pt idx="48">
                  <c:v>1060.9026958804106</c:v>
                </c:pt>
                <c:pt idx="49">
                  <c:v>1059.566714193053</c:v>
                </c:pt>
                <c:pt idx="50">
                  <c:v>1058.2307325056954</c:v>
                </c:pt>
                <c:pt idx="51">
                  <c:v>1056.8947508183378</c:v>
                </c:pt>
                <c:pt idx="52">
                  <c:v>1055.5587691309802</c:v>
                </c:pt>
                <c:pt idx="53">
                  <c:v>1054.2227874436226</c:v>
                </c:pt>
                <c:pt idx="54">
                  <c:v>1052.8868057562649</c:v>
                </c:pt>
                <c:pt idx="55">
                  <c:v>1051.5508240689073</c:v>
                </c:pt>
                <c:pt idx="56">
                  <c:v>1050.2148423815497</c:v>
                </c:pt>
                <c:pt idx="57">
                  <c:v>1048.8788606941921</c:v>
                </c:pt>
                <c:pt idx="58">
                  <c:v>1047.5428790068345</c:v>
                </c:pt>
                <c:pt idx="59">
                  <c:v>1046.2068973194769</c:v>
                </c:pt>
                <c:pt idx="60">
                  <c:v>1044.8709156321192</c:v>
                </c:pt>
                <c:pt idx="61">
                  <c:v>1043.5349339447616</c:v>
                </c:pt>
                <c:pt idx="62">
                  <c:v>1042.198952257404</c:v>
                </c:pt>
                <c:pt idx="63">
                  <c:v>1040.8629705700464</c:v>
                </c:pt>
                <c:pt idx="64">
                  <c:v>1039.5269888826888</c:v>
                </c:pt>
                <c:pt idx="65">
                  <c:v>1038.1910071953312</c:v>
                </c:pt>
                <c:pt idx="66">
                  <c:v>1036.8550255079736</c:v>
                </c:pt>
                <c:pt idx="67">
                  <c:v>1035.5190438206159</c:v>
                </c:pt>
                <c:pt idx="68">
                  <c:v>1034.1830621332583</c:v>
                </c:pt>
                <c:pt idx="69">
                  <c:v>1032.8470804459007</c:v>
                </c:pt>
                <c:pt idx="70">
                  <c:v>1031.5110987585431</c:v>
                </c:pt>
                <c:pt idx="71">
                  <c:v>1030.1751170711855</c:v>
                </c:pt>
                <c:pt idx="72">
                  <c:v>1028.8391353838279</c:v>
                </c:pt>
                <c:pt idx="73">
                  <c:v>1027.5031536964702</c:v>
                </c:pt>
                <c:pt idx="74">
                  <c:v>1026.1671720091126</c:v>
                </c:pt>
                <c:pt idx="75">
                  <c:v>1024.831190321755</c:v>
                </c:pt>
                <c:pt idx="76">
                  <c:v>1023.4952086343973</c:v>
                </c:pt>
                <c:pt idx="77">
                  <c:v>1022.1592269470395</c:v>
                </c:pt>
                <c:pt idx="78">
                  <c:v>1020.3958301326892</c:v>
                </c:pt>
                <c:pt idx="79">
                  <c:v>1018.6324333183388</c:v>
                </c:pt>
                <c:pt idx="80">
                  <c:v>1016.8690365039885</c:v>
                </c:pt>
                <c:pt idx="81">
                  <c:v>1015.1056396896381</c:v>
                </c:pt>
                <c:pt idx="82">
                  <c:v>1013.3422428752878</c:v>
                </c:pt>
                <c:pt idx="83">
                  <c:v>1011.5788460609374</c:v>
                </c:pt>
                <c:pt idx="84">
                  <c:v>1009.815449246587</c:v>
                </c:pt>
                <c:pt idx="85">
                  <c:v>1008.0520524322367</c:v>
                </c:pt>
                <c:pt idx="86">
                  <c:v>1006.2886556178863</c:v>
                </c:pt>
                <c:pt idx="87">
                  <c:v>1004.525258803536</c:v>
                </c:pt>
                <c:pt idx="88">
                  <c:v>1002.7618619891856</c:v>
                </c:pt>
                <c:pt idx="89">
                  <c:v>1000.9984651748352</c:v>
                </c:pt>
                <c:pt idx="90">
                  <c:v>999.23506836048489</c:v>
                </c:pt>
                <c:pt idx="91">
                  <c:v>997.47167154613453</c:v>
                </c:pt>
                <c:pt idx="92">
                  <c:v>995.70827473178417</c:v>
                </c:pt>
                <c:pt idx="93">
                  <c:v>993.94487791743381</c:v>
                </c:pt>
                <c:pt idx="94">
                  <c:v>992.18148110308346</c:v>
                </c:pt>
                <c:pt idx="95">
                  <c:v>990.4180842887331</c:v>
                </c:pt>
                <c:pt idx="96">
                  <c:v>988.65468747438274</c:v>
                </c:pt>
                <c:pt idx="97">
                  <c:v>986.89129066003238</c:v>
                </c:pt>
                <c:pt idx="98">
                  <c:v>985.12789384568202</c:v>
                </c:pt>
                <c:pt idx="99">
                  <c:v>983.36449703133167</c:v>
                </c:pt>
                <c:pt idx="100">
                  <c:v>981.60110021698131</c:v>
                </c:pt>
                <c:pt idx="101">
                  <c:v>979.83770340263095</c:v>
                </c:pt>
                <c:pt idx="102">
                  <c:v>978.07430658828059</c:v>
                </c:pt>
                <c:pt idx="103">
                  <c:v>976.31090977393023</c:v>
                </c:pt>
                <c:pt idx="104">
                  <c:v>974.54751295957988</c:v>
                </c:pt>
                <c:pt idx="105">
                  <c:v>972.78411614522952</c:v>
                </c:pt>
                <c:pt idx="106">
                  <c:v>971.02071933087916</c:v>
                </c:pt>
                <c:pt idx="107">
                  <c:v>969.2573225165288</c:v>
                </c:pt>
                <c:pt idx="108">
                  <c:v>967.49392570217844</c:v>
                </c:pt>
                <c:pt idx="109">
                  <c:v>965.73052888782809</c:v>
                </c:pt>
                <c:pt idx="110">
                  <c:v>963.96713207347773</c:v>
                </c:pt>
                <c:pt idx="111">
                  <c:v>962.20373525912737</c:v>
                </c:pt>
                <c:pt idx="112">
                  <c:v>960.44033844477701</c:v>
                </c:pt>
                <c:pt idx="113">
                  <c:v>1183.4839999999999</c:v>
                </c:pt>
                <c:pt idx="114">
                  <c:v>1182.8538568903773</c:v>
                </c:pt>
                <c:pt idx="115">
                  <c:v>1182.2237137807547</c:v>
                </c:pt>
                <c:pt idx="116">
                  <c:v>1181.5935706711321</c:v>
                </c:pt>
                <c:pt idx="117">
                  <c:v>1180.9634275615094</c:v>
                </c:pt>
                <c:pt idx="118">
                  <c:v>1180.3332844518868</c:v>
                </c:pt>
                <c:pt idx="119">
                  <c:v>1179.7031413422642</c:v>
                </c:pt>
                <c:pt idx="120">
                  <c:v>1179.0729982326416</c:v>
                </c:pt>
                <c:pt idx="121">
                  <c:v>1178.4428551230189</c:v>
                </c:pt>
                <c:pt idx="122">
                  <c:v>1177.8127120133963</c:v>
                </c:pt>
                <c:pt idx="123">
                  <c:v>1177.1825689037737</c:v>
                </c:pt>
                <c:pt idx="124">
                  <c:v>1176.5524257941511</c:v>
                </c:pt>
                <c:pt idx="125">
                  <c:v>1175.9222826845285</c:v>
                </c:pt>
                <c:pt idx="126">
                  <c:v>1175.2921395749058</c:v>
                </c:pt>
                <c:pt idx="127">
                  <c:v>1174.6619964652832</c:v>
                </c:pt>
                <c:pt idx="128">
                  <c:v>1174.0318533556606</c:v>
                </c:pt>
                <c:pt idx="129">
                  <c:v>1173.401710246038</c:v>
                </c:pt>
                <c:pt idx="130">
                  <c:v>1172.7715671364153</c:v>
                </c:pt>
                <c:pt idx="131">
                  <c:v>1172.1414240267927</c:v>
                </c:pt>
                <c:pt idx="132">
                  <c:v>1171.5112809171701</c:v>
                </c:pt>
                <c:pt idx="133">
                  <c:v>1170.8811378075475</c:v>
                </c:pt>
                <c:pt idx="134">
                  <c:v>1170.2509946979249</c:v>
                </c:pt>
                <c:pt idx="135">
                  <c:v>1169.6208515883022</c:v>
                </c:pt>
                <c:pt idx="136">
                  <c:v>1168.9907084786796</c:v>
                </c:pt>
                <c:pt idx="137">
                  <c:v>1168.360565369057</c:v>
                </c:pt>
                <c:pt idx="138">
                  <c:v>1167.7304222594344</c:v>
                </c:pt>
                <c:pt idx="139">
                  <c:v>1167.1002791498117</c:v>
                </c:pt>
                <c:pt idx="140">
                  <c:v>1166.4701360401891</c:v>
                </c:pt>
                <c:pt idx="141">
                  <c:v>1165.8399929305665</c:v>
                </c:pt>
                <c:pt idx="142">
                  <c:v>1165.2098498209439</c:v>
                </c:pt>
                <c:pt idx="143">
                  <c:v>1164.5797067113213</c:v>
                </c:pt>
                <c:pt idx="144">
                  <c:v>1163.9495636016986</c:v>
                </c:pt>
                <c:pt idx="145">
                  <c:v>1163.319420492076</c:v>
                </c:pt>
                <c:pt idx="146">
                  <c:v>1162.6892773824534</c:v>
                </c:pt>
                <c:pt idx="147">
                  <c:v>1162.0591342728308</c:v>
                </c:pt>
                <c:pt idx="148">
                  <c:v>1161.4289911632081</c:v>
                </c:pt>
                <c:pt idx="149">
                  <c:v>1160.7988480535855</c:v>
                </c:pt>
                <c:pt idx="150">
                  <c:v>1160.1687049439629</c:v>
                </c:pt>
                <c:pt idx="151">
                  <c:v>1159.5385618343403</c:v>
                </c:pt>
                <c:pt idx="152">
                  <c:v>1158.9084187247176</c:v>
                </c:pt>
                <c:pt idx="153">
                  <c:v>1158.278275615095</c:v>
                </c:pt>
                <c:pt idx="154">
                  <c:v>1157.6481325054724</c:v>
                </c:pt>
                <c:pt idx="155">
                  <c:v>1157.0179893958498</c:v>
                </c:pt>
                <c:pt idx="156">
                  <c:v>1156.3878462862272</c:v>
                </c:pt>
                <c:pt idx="157">
                  <c:v>1155.7577031766045</c:v>
                </c:pt>
                <c:pt idx="158">
                  <c:v>1155.1275600669819</c:v>
                </c:pt>
                <c:pt idx="159">
                  <c:v>1154.4974169573593</c:v>
                </c:pt>
                <c:pt idx="160">
                  <c:v>1153.8672738477367</c:v>
                </c:pt>
                <c:pt idx="161">
                  <c:v>1153.237130738114</c:v>
                </c:pt>
                <c:pt idx="162">
                  <c:v>1152.6069876284914</c:v>
                </c:pt>
                <c:pt idx="163">
                  <c:v>1151.9768445188688</c:v>
                </c:pt>
                <c:pt idx="164">
                  <c:v>1151.3467014092462</c:v>
                </c:pt>
                <c:pt idx="165">
                  <c:v>1150.7165582996236</c:v>
                </c:pt>
                <c:pt idx="166">
                  <c:v>1150.0864151900009</c:v>
                </c:pt>
                <c:pt idx="167">
                  <c:v>1148.3230183756507</c:v>
                </c:pt>
                <c:pt idx="168">
                  <c:v>1146.5596215613004</c:v>
                </c:pt>
                <c:pt idx="169">
                  <c:v>1144.7962247469502</c:v>
                </c:pt>
                <c:pt idx="170">
                  <c:v>1143.0328279326</c:v>
                </c:pt>
                <c:pt idx="171">
                  <c:v>1141.2694311182497</c:v>
                </c:pt>
                <c:pt idx="172">
                  <c:v>1139.5060343038995</c:v>
                </c:pt>
                <c:pt idx="173">
                  <c:v>1137.7426374895492</c:v>
                </c:pt>
                <c:pt idx="174">
                  <c:v>1135.979240675199</c:v>
                </c:pt>
                <c:pt idx="175">
                  <c:v>1134.2158438608487</c:v>
                </c:pt>
                <c:pt idx="176">
                  <c:v>1132.4524470464985</c:v>
                </c:pt>
                <c:pt idx="177">
                  <c:v>1130.6890502321482</c:v>
                </c:pt>
                <c:pt idx="178">
                  <c:v>1128.925653417798</c:v>
                </c:pt>
                <c:pt idx="179">
                  <c:v>1127.1622566034478</c:v>
                </c:pt>
                <c:pt idx="180">
                  <c:v>1125.3988597890975</c:v>
                </c:pt>
                <c:pt idx="181">
                  <c:v>1123.6354629747473</c:v>
                </c:pt>
                <c:pt idx="182">
                  <c:v>1121.872066160397</c:v>
                </c:pt>
                <c:pt idx="183">
                  <c:v>1120.1086693460468</c:v>
                </c:pt>
                <c:pt idx="184">
                  <c:v>1118.3452725316965</c:v>
                </c:pt>
                <c:pt idx="185">
                  <c:v>1116.5818757173463</c:v>
                </c:pt>
                <c:pt idx="186">
                  <c:v>1114.818478902996</c:v>
                </c:pt>
                <c:pt idx="187">
                  <c:v>1113.0550820886458</c:v>
                </c:pt>
                <c:pt idx="188">
                  <c:v>1111.2916852742956</c:v>
                </c:pt>
                <c:pt idx="189">
                  <c:v>1109.5282884599453</c:v>
                </c:pt>
                <c:pt idx="190">
                  <c:v>1107.7648916455951</c:v>
                </c:pt>
                <c:pt idx="191">
                  <c:v>1106.0014948312448</c:v>
                </c:pt>
                <c:pt idx="192">
                  <c:v>1104.2380980168946</c:v>
                </c:pt>
                <c:pt idx="193">
                  <c:v>1102.4747012025443</c:v>
                </c:pt>
                <c:pt idx="194">
                  <c:v>1100.7113043881941</c:v>
                </c:pt>
                <c:pt idx="195">
                  <c:v>1098.9479075738438</c:v>
                </c:pt>
                <c:pt idx="196">
                  <c:v>1097.1845107594936</c:v>
                </c:pt>
                <c:pt idx="197">
                  <c:v>1095.4211139451434</c:v>
                </c:pt>
                <c:pt idx="198">
                  <c:v>1093.6577171307931</c:v>
                </c:pt>
                <c:pt idx="199">
                  <c:v>1091.8943203164429</c:v>
                </c:pt>
                <c:pt idx="200">
                  <c:v>1090.1309235020926</c:v>
                </c:pt>
                <c:pt idx="201">
                  <c:v>1088.3675266877424</c:v>
                </c:pt>
                <c:pt idx="202">
                  <c:v>1086.6041298733921</c:v>
                </c:pt>
                <c:pt idx="203">
                  <c:v>1084.8407330590419</c:v>
                </c:pt>
                <c:pt idx="204">
                  <c:v>1083.0773362446917</c:v>
                </c:pt>
                <c:pt idx="205">
                  <c:v>1081.3139394303414</c:v>
                </c:pt>
                <c:pt idx="206">
                  <c:v>1079.5505426159912</c:v>
                </c:pt>
                <c:pt idx="207">
                  <c:v>1077.7871458016409</c:v>
                </c:pt>
                <c:pt idx="208">
                  <c:v>1076.0237489872907</c:v>
                </c:pt>
                <c:pt idx="209">
                  <c:v>1074.2603521729404</c:v>
                </c:pt>
                <c:pt idx="210">
                  <c:v>1072.4969553585902</c:v>
                </c:pt>
                <c:pt idx="211">
                  <c:v>1070.7335585442399</c:v>
                </c:pt>
                <c:pt idx="212">
                  <c:v>1068.9701617298897</c:v>
                </c:pt>
                <c:pt idx="213">
                  <c:v>1067.2067649155395</c:v>
                </c:pt>
                <c:pt idx="214">
                  <c:v>1065.4433681011892</c:v>
                </c:pt>
                <c:pt idx="215">
                  <c:v>1063.679971286839</c:v>
                </c:pt>
                <c:pt idx="216">
                  <c:v>1061.9165744724887</c:v>
                </c:pt>
                <c:pt idx="217">
                  <c:v>1060.1531776581385</c:v>
                </c:pt>
                <c:pt idx="218">
                  <c:v>1058.3897808437882</c:v>
                </c:pt>
                <c:pt idx="219">
                  <c:v>1056.626384029438</c:v>
                </c:pt>
                <c:pt idx="220">
                  <c:v>1054.8629872150877</c:v>
                </c:pt>
                <c:pt idx="221">
                  <c:v>1053.0995904007375</c:v>
                </c:pt>
                <c:pt idx="222">
                  <c:v>1051.3361935863873</c:v>
                </c:pt>
                <c:pt idx="223">
                  <c:v>1049.572796772037</c:v>
                </c:pt>
                <c:pt idx="224">
                  <c:v>1047.8093999576868</c:v>
                </c:pt>
                <c:pt idx="225">
                  <c:v>1046.0460031433365</c:v>
                </c:pt>
                <c:pt idx="226">
                  <c:v>1044.2826063289863</c:v>
                </c:pt>
                <c:pt idx="227">
                  <c:v>1042.519209514636</c:v>
                </c:pt>
                <c:pt idx="228">
                  <c:v>1040.7558127002858</c:v>
                </c:pt>
                <c:pt idx="229">
                  <c:v>1038.9924158859355</c:v>
                </c:pt>
                <c:pt idx="230">
                  <c:v>1037.2290190715853</c:v>
                </c:pt>
                <c:pt idx="231">
                  <c:v>1035.4656222572351</c:v>
                </c:pt>
                <c:pt idx="232">
                  <c:v>1033.7022254428848</c:v>
                </c:pt>
                <c:pt idx="233">
                  <c:v>1031.9388286285346</c:v>
                </c:pt>
                <c:pt idx="234">
                  <c:v>1030.1754318141843</c:v>
                </c:pt>
                <c:pt idx="235">
                  <c:v>1028.4120349998341</c:v>
                </c:pt>
                <c:pt idx="236">
                  <c:v>1026.6486381854838</c:v>
                </c:pt>
                <c:pt idx="237">
                  <c:v>1024.8852413711336</c:v>
                </c:pt>
                <c:pt idx="238">
                  <c:v>1023.1218445567832</c:v>
                </c:pt>
                <c:pt idx="239">
                  <c:v>1021.3584477424329</c:v>
                </c:pt>
                <c:pt idx="240">
                  <c:v>1019.5950509280825</c:v>
                </c:pt>
                <c:pt idx="241">
                  <c:v>1017.8316541137322</c:v>
                </c:pt>
                <c:pt idx="242">
                  <c:v>1016.0682572993818</c:v>
                </c:pt>
                <c:pt idx="243">
                  <c:v>1014.3048604850314</c:v>
                </c:pt>
                <c:pt idx="244">
                  <c:v>1012.5414636706811</c:v>
                </c:pt>
                <c:pt idx="245">
                  <c:v>1010.7780668563307</c:v>
                </c:pt>
                <c:pt idx="246">
                  <c:v>1009.0146700419804</c:v>
                </c:pt>
                <c:pt idx="247">
                  <c:v>1007.25127322763</c:v>
                </c:pt>
                <c:pt idx="248">
                  <c:v>1005.4878764132797</c:v>
                </c:pt>
                <c:pt idx="249">
                  <c:v>1003.7244795989293</c:v>
                </c:pt>
                <c:pt idx="250">
                  <c:v>1001.9610827845789</c:v>
                </c:pt>
                <c:pt idx="251">
                  <c:v>1000.1976859702286</c:v>
                </c:pt>
                <c:pt idx="252">
                  <c:v>998.43428915587822</c:v>
                </c:pt>
                <c:pt idx="253">
                  <c:v>993.93094719527835</c:v>
                </c:pt>
                <c:pt idx="254">
                  <c:v>989.42760523467848</c:v>
                </c:pt>
                <c:pt idx="255">
                  <c:v>984.92426327407861</c:v>
                </c:pt>
                <c:pt idx="256">
                  <c:v>980.42092131347874</c:v>
                </c:pt>
                <c:pt idx="257">
                  <c:v>975.91757935287887</c:v>
                </c:pt>
                <c:pt idx="258">
                  <c:v>971.41423739227901</c:v>
                </c:pt>
                <c:pt idx="259">
                  <c:v>921.13099999999997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Hydraulics!$AS$4:$AS$263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1077.3320442734789</c:v>
                </c:pt>
                <c:pt idx="2">
                  <c:v>1075.6460885469578</c:v>
                </c:pt>
                <c:pt idx="3">
                  <c:v>1123.9601328204367</c:v>
                </c:pt>
                <c:pt idx="4">
                  <c:v>1122.2741770939156</c:v>
                </c:pt>
                <c:pt idx="5">
                  <c:v>1120.5882213673945</c:v>
                </c:pt>
                <c:pt idx="6">
                  <c:v>1118.9022656408733</c:v>
                </c:pt>
                <c:pt idx="7">
                  <c:v>1117.2163099143522</c:v>
                </c:pt>
                <c:pt idx="8">
                  <c:v>1115.5303541878311</c:v>
                </c:pt>
                <c:pt idx="9">
                  <c:v>1113.84439846131</c:v>
                </c:pt>
                <c:pt idx="10">
                  <c:v>1111.67</c:v>
                </c:pt>
                <c:pt idx="11">
                  <c:v>1109.984044273479</c:v>
                </c:pt>
                <c:pt idx="12">
                  <c:v>1108.2980885469578</c:v>
                </c:pt>
                <c:pt idx="13">
                  <c:v>1106.6121328204367</c:v>
                </c:pt>
                <c:pt idx="14">
                  <c:v>1104.9261770939156</c:v>
                </c:pt>
                <c:pt idx="15">
                  <c:v>1103.2402213673945</c:v>
                </c:pt>
                <c:pt idx="16">
                  <c:v>1101.5542656408734</c:v>
                </c:pt>
                <c:pt idx="17">
                  <c:v>1099.8683099143523</c:v>
                </c:pt>
                <c:pt idx="18">
                  <c:v>1098.1823541878312</c:v>
                </c:pt>
                <c:pt idx="19">
                  <c:v>1096.49639846131</c:v>
                </c:pt>
                <c:pt idx="20">
                  <c:v>1094.8104427347889</c:v>
                </c:pt>
                <c:pt idx="21">
                  <c:v>1093.1244870082678</c:v>
                </c:pt>
                <c:pt idx="22">
                  <c:v>1091.4385312817467</c:v>
                </c:pt>
                <c:pt idx="23">
                  <c:v>1089.7525755552256</c:v>
                </c:pt>
                <c:pt idx="24">
                  <c:v>1088.0666198287045</c:v>
                </c:pt>
                <c:pt idx="25">
                  <c:v>1086.3806641021833</c:v>
                </c:pt>
                <c:pt idx="26">
                  <c:v>1084.6947083756622</c:v>
                </c:pt>
                <c:pt idx="27">
                  <c:v>1083.0087526491411</c:v>
                </c:pt>
                <c:pt idx="28">
                  <c:v>1081.32279692262</c:v>
                </c:pt>
                <c:pt idx="29">
                  <c:v>1079.6368411960989</c:v>
                </c:pt>
                <c:pt idx="30">
                  <c:v>1077.9508854695778</c:v>
                </c:pt>
                <c:pt idx="31">
                  <c:v>1076.2649297430567</c:v>
                </c:pt>
                <c:pt idx="32">
                  <c:v>1074.5789740165355</c:v>
                </c:pt>
                <c:pt idx="33">
                  <c:v>1072.8930182900144</c:v>
                </c:pt>
                <c:pt idx="34">
                  <c:v>1071.2070625634933</c:v>
                </c:pt>
                <c:pt idx="35">
                  <c:v>1069.5211068369722</c:v>
                </c:pt>
                <c:pt idx="36">
                  <c:v>1067.8351511104511</c:v>
                </c:pt>
                <c:pt idx="37">
                  <c:v>1066.14919538393</c:v>
                </c:pt>
                <c:pt idx="38">
                  <c:v>1064.4632396574088</c:v>
                </c:pt>
                <c:pt idx="39">
                  <c:v>1062.7772839308877</c:v>
                </c:pt>
                <c:pt idx="40">
                  <c:v>1061.0913282043666</c:v>
                </c:pt>
                <c:pt idx="41">
                  <c:v>1059.4053724778455</c:v>
                </c:pt>
                <c:pt idx="42">
                  <c:v>1057.7194167513244</c:v>
                </c:pt>
                <c:pt idx="43">
                  <c:v>1056.0334610248033</c:v>
                </c:pt>
                <c:pt idx="44">
                  <c:v>1054.3475052982822</c:v>
                </c:pt>
                <c:pt idx="45">
                  <c:v>1052.661549571761</c:v>
                </c:pt>
                <c:pt idx="46">
                  <c:v>1050.9755938452399</c:v>
                </c:pt>
                <c:pt idx="47">
                  <c:v>1049.2896381187188</c:v>
                </c:pt>
                <c:pt idx="48">
                  <c:v>1047.6036823921977</c:v>
                </c:pt>
                <c:pt idx="49">
                  <c:v>1045.9177266656766</c:v>
                </c:pt>
                <c:pt idx="50">
                  <c:v>1044.2317709391555</c:v>
                </c:pt>
                <c:pt idx="51">
                  <c:v>1042.5458152126344</c:v>
                </c:pt>
                <c:pt idx="52">
                  <c:v>1040.8598594861132</c:v>
                </c:pt>
                <c:pt idx="53">
                  <c:v>1039.1739037595921</c:v>
                </c:pt>
                <c:pt idx="54">
                  <c:v>1037.487948033071</c:v>
                </c:pt>
                <c:pt idx="55">
                  <c:v>1035.8019923065499</c:v>
                </c:pt>
                <c:pt idx="56">
                  <c:v>1034.1160365800288</c:v>
                </c:pt>
                <c:pt idx="57">
                  <c:v>1032.4300808535077</c:v>
                </c:pt>
                <c:pt idx="58">
                  <c:v>1030.7441251269865</c:v>
                </c:pt>
                <c:pt idx="59">
                  <c:v>1029.0581694004654</c:v>
                </c:pt>
                <c:pt idx="60">
                  <c:v>1027.3722136739443</c:v>
                </c:pt>
                <c:pt idx="61">
                  <c:v>1025.6862579474232</c:v>
                </c:pt>
                <c:pt idx="62">
                  <c:v>1024.0003022209021</c:v>
                </c:pt>
                <c:pt idx="63">
                  <c:v>1022.3143464943811</c:v>
                </c:pt>
                <c:pt idx="64">
                  <c:v>1020.6283907678601</c:v>
                </c:pt>
                <c:pt idx="65">
                  <c:v>1018.9424350413391</c:v>
                </c:pt>
                <c:pt idx="66">
                  <c:v>1017.2564793148181</c:v>
                </c:pt>
                <c:pt idx="67">
                  <c:v>1015.5705235882971</c:v>
                </c:pt>
                <c:pt idx="68">
                  <c:v>1013.8845678617761</c:v>
                </c:pt>
                <c:pt idx="69">
                  <c:v>1012.1986121352551</c:v>
                </c:pt>
                <c:pt idx="70">
                  <c:v>1010.5126564087341</c:v>
                </c:pt>
                <c:pt idx="71">
                  <c:v>1008.8267006822131</c:v>
                </c:pt>
                <c:pt idx="72">
                  <c:v>1007.1407449556921</c:v>
                </c:pt>
                <c:pt idx="73">
                  <c:v>1005.4547892291711</c:v>
                </c:pt>
                <c:pt idx="74">
                  <c:v>1003.7688335026501</c:v>
                </c:pt>
                <c:pt idx="75">
                  <c:v>1002.0828777761291</c:v>
                </c:pt>
                <c:pt idx="76">
                  <c:v>1000.3969220496081</c:v>
                </c:pt>
                <c:pt idx="77">
                  <c:v>998.71096632308706</c:v>
                </c:pt>
                <c:pt idx="78">
                  <c:v>996.48094985182013</c:v>
                </c:pt>
                <c:pt idx="79">
                  <c:v>994.25093338055319</c:v>
                </c:pt>
                <c:pt idx="80">
                  <c:v>992.02091690928626</c:v>
                </c:pt>
                <c:pt idx="81">
                  <c:v>989.79090043801932</c:v>
                </c:pt>
                <c:pt idx="82">
                  <c:v>987.56088396675239</c:v>
                </c:pt>
                <c:pt idx="83">
                  <c:v>985.33086749548545</c:v>
                </c:pt>
                <c:pt idx="84">
                  <c:v>983.10085102421851</c:v>
                </c:pt>
                <c:pt idx="85">
                  <c:v>980.87083455295158</c:v>
                </c:pt>
                <c:pt idx="86">
                  <c:v>978.64081808168464</c:v>
                </c:pt>
                <c:pt idx="87">
                  <c:v>976.41080161041771</c:v>
                </c:pt>
                <c:pt idx="88">
                  <c:v>974.18078513915077</c:v>
                </c:pt>
                <c:pt idx="89">
                  <c:v>971.95076866788384</c:v>
                </c:pt>
                <c:pt idx="90">
                  <c:v>969.7207521966169</c:v>
                </c:pt>
                <c:pt idx="91">
                  <c:v>967.49073572534996</c:v>
                </c:pt>
                <c:pt idx="92">
                  <c:v>965.26071925408303</c:v>
                </c:pt>
                <c:pt idx="93">
                  <c:v>963.03070278281609</c:v>
                </c:pt>
                <c:pt idx="94">
                  <c:v>960.80068631154916</c:v>
                </c:pt>
                <c:pt idx="95">
                  <c:v>958.57066984028222</c:v>
                </c:pt>
                <c:pt idx="96">
                  <c:v>956.34065336901529</c:v>
                </c:pt>
                <c:pt idx="97">
                  <c:v>954.11063689774835</c:v>
                </c:pt>
                <c:pt idx="98">
                  <c:v>951.88062042648141</c:v>
                </c:pt>
                <c:pt idx="99">
                  <c:v>949.65060395521448</c:v>
                </c:pt>
                <c:pt idx="100">
                  <c:v>947.42058748394754</c:v>
                </c:pt>
                <c:pt idx="101">
                  <c:v>945.19057101268061</c:v>
                </c:pt>
                <c:pt idx="102">
                  <c:v>942.96055454141367</c:v>
                </c:pt>
                <c:pt idx="103">
                  <c:v>940.73053807014674</c:v>
                </c:pt>
                <c:pt idx="104">
                  <c:v>938.5005215988798</c:v>
                </c:pt>
                <c:pt idx="105">
                  <c:v>936.27050512761286</c:v>
                </c:pt>
                <c:pt idx="106">
                  <c:v>934.04048865634593</c:v>
                </c:pt>
                <c:pt idx="107">
                  <c:v>931.81047218507899</c:v>
                </c:pt>
                <c:pt idx="108">
                  <c:v>929.58045571381206</c:v>
                </c:pt>
                <c:pt idx="109">
                  <c:v>927.35043924254512</c:v>
                </c:pt>
                <c:pt idx="110">
                  <c:v>925.12042277127819</c:v>
                </c:pt>
                <c:pt idx="111">
                  <c:v>922.89040630001125</c:v>
                </c:pt>
                <c:pt idx="112">
                  <c:v>920.66038982874431</c:v>
                </c:pt>
                <c:pt idx="113">
                  <c:v>1183.4839999999999</c:v>
                </c:pt>
                <c:pt idx="114">
                  <c:v>1182.6933076295277</c:v>
                </c:pt>
                <c:pt idx="115">
                  <c:v>1181.9026152590554</c:v>
                </c:pt>
                <c:pt idx="116">
                  <c:v>1181.1119228885832</c:v>
                </c:pt>
                <c:pt idx="117">
                  <c:v>1180.321230518111</c:v>
                </c:pt>
                <c:pt idx="118">
                  <c:v>1179.5305381476387</c:v>
                </c:pt>
                <c:pt idx="119">
                  <c:v>1178.7398457771665</c:v>
                </c:pt>
                <c:pt idx="120">
                  <c:v>1177.9491534066942</c:v>
                </c:pt>
                <c:pt idx="121">
                  <c:v>1177.158461036222</c:v>
                </c:pt>
                <c:pt idx="122">
                  <c:v>1176.3677686657497</c:v>
                </c:pt>
                <c:pt idx="123">
                  <c:v>1175.5770762952775</c:v>
                </c:pt>
                <c:pt idx="124">
                  <c:v>1174.7863839248052</c:v>
                </c:pt>
                <c:pt idx="125">
                  <c:v>1173.995691554333</c:v>
                </c:pt>
                <c:pt idx="126">
                  <c:v>1173.2049991838608</c:v>
                </c:pt>
                <c:pt idx="127">
                  <c:v>1172.4143068133885</c:v>
                </c:pt>
                <c:pt idx="128">
                  <c:v>1171.6236144429163</c:v>
                </c:pt>
                <c:pt idx="129">
                  <c:v>1170.832922072444</c:v>
                </c:pt>
                <c:pt idx="130">
                  <c:v>1170.0422297019718</c:v>
                </c:pt>
                <c:pt idx="131">
                  <c:v>1169.2515373314995</c:v>
                </c:pt>
                <c:pt idx="132">
                  <c:v>1168.4608449610273</c:v>
                </c:pt>
                <c:pt idx="133">
                  <c:v>1167.6701525905551</c:v>
                </c:pt>
                <c:pt idx="134">
                  <c:v>1166.8794602200828</c:v>
                </c:pt>
                <c:pt idx="135">
                  <c:v>1166.0887678496106</c:v>
                </c:pt>
                <c:pt idx="136">
                  <c:v>1165.2980754791383</c:v>
                </c:pt>
                <c:pt idx="137">
                  <c:v>1164.5073831086661</c:v>
                </c:pt>
                <c:pt idx="138">
                  <c:v>1163.7166907381938</c:v>
                </c:pt>
                <c:pt idx="139">
                  <c:v>1162.9259983677216</c:v>
                </c:pt>
                <c:pt idx="140">
                  <c:v>1162.1353059972494</c:v>
                </c:pt>
                <c:pt idx="141">
                  <c:v>1161.3446136267771</c:v>
                </c:pt>
                <c:pt idx="142">
                  <c:v>1160.5539212563049</c:v>
                </c:pt>
                <c:pt idx="143">
                  <c:v>1159.7632288858326</c:v>
                </c:pt>
                <c:pt idx="144">
                  <c:v>1158.9725365153604</c:v>
                </c:pt>
                <c:pt idx="145">
                  <c:v>1158.1818441448881</c:v>
                </c:pt>
                <c:pt idx="146">
                  <c:v>1157.3911517744159</c:v>
                </c:pt>
                <c:pt idx="147">
                  <c:v>1156.6004594039437</c:v>
                </c:pt>
                <c:pt idx="148">
                  <c:v>1155.8097670334714</c:v>
                </c:pt>
                <c:pt idx="149">
                  <c:v>1155.0190746629992</c:v>
                </c:pt>
                <c:pt idx="150">
                  <c:v>1154.2283822925269</c:v>
                </c:pt>
                <c:pt idx="151">
                  <c:v>1153.4376899220547</c:v>
                </c:pt>
                <c:pt idx="152">
                  <c:v>1152.6469975515824</c:v>
                </c:pt>
                <c:pt idx="153">
                  <c:v>1151.8563051811102</c:v>
                </c:pt>
                <c:pt idx="154">
                  <c:v>1151.065612810638</c:v>
                </c:pt>
                <c:pt idx="155">
                  <c:v>1150.2749204401657</c:v>
                </c:pt>
                <c:pt idx="156">
                  <c:v>1149.4842280696935</c:v>
                </c:pt>
                <c:pt idx="157">
                  <c:v>1148.6935356992212</c:v>
                </c:pt>
                <c:pt idx="158">
                  <c:v>1147.902843328749</c:v>
                </c:pt>
                <c:pt idx="159">
                  <c:v>1147.1121509582767</c:v>
                </c:pt>
                <c:pt idx="160">
                  <c:v>1146.3214585878045</c:v>
                </c:pt>
                <c:pt idx="161">
                  <c:v>1145.5307662173323</c:v>
                </c:pt>
                <c:pt idx="162">
                  <c:v>1144.74007384686</c:v>
                </c:pt>
                <c:pt idx="163">
                  <c:v>1143.9493814763878</c:v>
                </c:pt>
                <c:pt idx="164">
                  <c:v>1143.1586891059155</c:v>
                </c:pt>
                <c:pt idx="165">
                  <c:v>1142.3679967354433</c:v>
                </c:pt>
                <c:pt idx="166">
                  <c:v>1141.577304364971</c:v>
                </c:pt>
                <c:pt idx="167">
                  <c:v>1139.3472878937041</c:v>
                </c:pt>
                <c:pt idx="168">
                  <c:v>1137.1172714224372</c:v>
                </c:pt>
                <c:pt idx="169">
                  <c:v>1134.8872549511702</c:v>
                </c:pt>
                <c:pt idx="170">
                  <c:v>1132.6572384799033</c:v>
                </c:pt>
                <c:pt idx="171">
                  <c:v>1130.4272220086364</c:v>
                </c:pt>
                <c:pt idx="172">
                  <c:v>1128.1972055373694</c:v>
                </c:pt>
                <c:pt idx="173">
                  <c:v>1125.9671890661025</c:v>
                </c:pt>
                <c:pt idx="174">
                  <c:v>1123.7371725948356</c:v>
                </c:pt>
                <c:pt idx="175">
                  <c:v>1121.5071561235686</c:v>
                </c:pt>
                <c:pt idx="176">
                  <c:v>1119.2771396523017</c:v>
                </c:pt>
                <c:pt idx="177">
                  <c:v>1117.0471231810347</c:v>
                </c:pt>
                <c:pt idx="178">
                  <c:v>1114.8171067097678</c:v>
                </c:pt>
                <c:pt idx="179">
                  <c:v>1112.5870902385009</c:v>
                </c:pt>
                <c:pt idx="180">
                  <c:v>1110.3570737672339</c:v>
                </c:pt>
                <c:pt idx="181">
                  <c:v>1108.127057295967</c:v>
                </c:pt>
                <c:pt idx="182">
                  <c:v>1105.8970408247001</c:v>
                </c:pt>
                <c:pt idx="183">
                  <c:v>1103.6670243534331</c:v>
                </c:pt>
                <c:pt idx="184">
                  <c:v>1101.4370078821662</c:v>
                </c:pt>
                <c:pt idx="185">
                  <c:v>1099.2069914108993</c:v>
                </c:pt>
                <c:pt idx="186">
                  <c:v>1096.9769749396323</c:v>
                </c:pt>
                <c:pt idx="187">
                  <c:v>1094.7469584683654</c:v>
                </c:pt>
                <c:pt idx="188">
                  <c:v>1092.5169419970985</c:v>
                </c:pt>
                <c:pt idx="189">
                  <c:v>1090.2869255258315</c:v>
                </c:pt>
                <c:pt idx="190">
                  <c:v>1088.0569090545646</c:v>
                </c:pt>
                <c:pt idx="191">
                  <c:v>1085.8268925832976</c:v>
                </c:pt>
                <c:pt idx="192">
                  <c:v>1083.5968761120307</c:v>
                </c:pt>
                <c:pt idx="193">
                  <c:v>1081.3668596407638</c:v>
                </c:pt>
                <c:pt idx="194">
                  <c:v>1079.1368431694968</c:v>
                </c:pt>
                <c:pt idx="195">
                  <c:v>1076.9068266982299</c:v>
                </c:pt>
                <c:pt idx="196">
                  <c:v>1074.676810226963</c:v>
                </c:pt>
                <c:pt idx="197">
                  <c:v>1072.446793755696</c:v>
                </c:pt>
                <c:pt idx="198">
                  <c:v>1070.2167772844291</c:v>
                </c:pt>
                <c:pt idx="199">
                  <c:v>1067.9867608131622</c:v>
                </c:pt>
                <c:pt idx="200">
                  <c:v>1065.7567443418952</c:v>
                </c:pt>
                <c:pt idx="201">
                  <c:v>1063.5267278706283</c:v>
                </c:pt>
                <c:pt idx="202">
                  <c:v>1061.2967113993614</c:v>
                </c:pt>
                <c:pt idx="203">
                  <c:v>1059.0666949280944</c:v>
                </c:pt>
                <c:pt idx="204">
                  <c:v>1056.8366784568275</c:v>
                </c:pt>
                <c:pt idx="205">
                  <c:v>1054.6066619855605</c:v>
                </c:pt>
                <c:pt idx="206">
                  <c:v>1052.3766455142936</c:v>
                </c:pt>
                <c:pt idx="207">
                  <c:v>1050.1466290430267</c:v>
                </c:pt>
                <c:pt idx="208">
                  <c:v>1047.9166125717597</c:v>
                </c:pt>
                <c:pt idx="209">
                  <c:v>1045.6865961004928</c:v>
                </c:pt>
                <c:pt idx="210">
                  <c:v>1043.4565796292259</c:v>
                </c:pt>
                <c:pt idx="211">
                  <c:v>1041.2265631579589</c:v>
                </c:pt>
                <c:pt idx="212">
                  <c:v>1038.996546686692</c:v>
                </c:pt>
                <c:pt idx="213">
                  <c:v>1036.7665302154251</c:v>
                </c:pt>
                <c:pt idx="214">
                  <c:v>1034.5365137441581</c:v>
                </c:pt>
                <c:pt idx="215">
                  <c:v>1032.3064972728912</c:v>
                </c:pt>
                <c:pt idx="216">
                  <c:v>1030.0764808016243</c:v>
                </c:pt>
                <c:pt idx="217">
                  <c:v>1027.8464643303573</c:v>
                </c:pt>
                <c:pt idx="218">
                  <c:v>1025.6164478590904</c:v>
                </c:pt>
                <c:pt idx="219">
                  <c:v>1023.3864313878234</c:v>
                </c:pt>
                <c:pt idx="220">
                  <c:v>1021.1564149165565</c:v>
                </c:pt>
                <c:pt idx="221">
                  <c:v>1018.9263984452896</c:v>
                </c:pt>
                <c:pt idx="222">
                  <c:v>1016.6963819740226</c:v>
                </c:pt>
                <c:pt idx="223">
                  <c:v>1014.4663655027557</c:v>
                </c:pt>
                <c:pt idx="224">
                  <c:v>1012.2363490314888</c:v>
                </c:pt>
                <c:pt idx="225">
                  <c:v>1010.0063325602218</c:v>
                </c:pt>
                <c:pt idx="226">
                  <c:v>1007.7763160889549</c:v>
                </c:pt>
                <c:pt idx="227">
                  <c:v>1005.546299617688</c:v>
                </c:pt>
                <c:pt idx="228">
                  <c:v>1003.316283146421</c:v>
                </c:pt>
                <c:pt idx="229">
                  <c:v>1001.0862666751541</c:v>
                </c:pt>
                <c:pt idx="230">
                  <c:v>998.85625020388716</c:v>
                </c:pt>
                <c:pt idx="231">
                  <c:v>996.62623373262022</c:v>
                </c:pt>
                <c:pt idx="232">
                  <c:v>994.39621726135329</c:v>
                </c:pt>
                <c:pt idx="233">
                  <c:v>992.16620079008635</c:v>
                </c:pt>
                <c:pt idx="234">
                  <c:v>989.93618431881941</c:v>
                </c:pt>
                <c:pt idx="235">
                  <c:v>987.70616784755248</c:v>
                </c:pt>
                <c:pt idx="236">
                  <c:v>985.47615137628554</c:v>
                </c:pt>
                <c:pt idx="237">
                  <c:v>983.24613490501861</c:v>
                </c:pt>
                <c:pt idx="238">
                  <c:v>981.01611843375167</c:v>
                </c:pt>
                <c:pt idx="239">
                  <c:v>978.78610196248474</c:v>
                </c:pt>
                <c:pt idx="240">
                  <c:v>976.5560854912178</c:v>
                </c:pt>
                <c:pt idx="241">
                  <c:v>974.32606901995086</c:v>
                </c:pt>
                <c:pt idx="242">
                  <c:v>972.09605254868393</c:v>
                </c:pt>
                <c:pt idx="243">
                  <c:v>969.86603607741699</c:v>
                </c:pt>
                <c:pt idx="244">
                  <c:v>967.63601960615006</c:v>
                </c:pt>
                <c:pt idx="245">
                  <c:v>965.40600313488312</c:v>
                </c:pt>
                <c:pt idx="246">
                  <c:v>963.17598666361619</c:v>
                </c:pt>
                <c:pt idx="247">
                  <c:v>960.94597019234925</c:v>
                </c:pt>
                <c:pt idx="248">
                  <c:v>958.71595372108231</c:v>
                </c:pt>
                <c:pt idx="249">
                  <c:v>956.48593724981538</c:v>
                </c:pt>
                <c:pt idx="250">
                  <c:v>954.25592077854844</c:v>
                </c:pt>
                <c:pt idx="251">
                  <c:v>952.02590430728151</c:v>
                </c:pt>
                <c:pt idx="252">
                  <c:v>949.79588783601457</c:v>
                </c:pt>
                <c:pt idx="253">
                  <c:v>944.06023121237411</c:v>
                </c:pt>
                <c:pt idx="254">
                  <c:v>938.32457458873364</c:v>
                </c:pt>
                <c:pt idx="255">
                  <c:v>932.58891796509317</c:v>
                </c:pt>
                <c:pt idx="256">
                  <c:v>926.85326134145271</c:v>
                </c:pt>
                <c:pt idx="257">
                  <c:v>921.11760471781224</c:v>
                </c:pt>
                <c:pt idx="258">
                  <c:v>915.38194809417178</c:v>
                </c:pt>
                <c:pt idx="259">
                  <c:v>921.13099999999997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  <c:pt idx="1">
                  <c:v>228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913.48400000000004</c:v>
                </c:pt>
                <c:pt idx="2">
                  <c:v>0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Hydraulics!$B$11:$B$15</c:f>
              <c:numCache>
                <c:formatCode>General</c:formatCode>
                <c:ptCount val="5"/>
                <c:pt idx="0">
                  <c:v>2</c:v>
                </c:pt>
                <c:pt idx="1">
                  <c:v>22</c:v>
                </c:pt>
                <c:pt idx="2">
                  <c:v>228</c:v>
                </c:pt>
                <c:pt idx="3">
                  <c:v>520</c:v>
                </c:pt>
              </c:numCache>
            </c:numRef>
          </c:xVal>
          <c:yVal>
            <c:numRef>
              <c:f>Hydraulics!$C$11:$C$15</c:f>
              <c:numCache>
                <c:formatCode>General</c:formatCode>
                <c:ptCount val="5"/>
                <c:pt idx="0">
                  <c:v>1079.018</c:v>
                </c:pt>
                <c:pt idx="1">
                  <c:v>1111.67</c:v>
                </c:pt>
                <c:pt idx="2">
                  <c:v>923.48400000000004</c:v>
                </c:pt>
                <c:pt idx="3">
                  <c:v>921.13099999999997</c:v>
                </c:pt>
                <c:pt idx="4">
                  <c:v>0</c:v>
                </c:pt>
              </c:numCache>
            </c:numRef>
          </c:yVal>
        </c:ser>
        <c:axId val="91606400"/>
        <c:axId val="91613056"/>
      </c:scatterChart>
      <c:valAx>
        <c:axId val="91606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613056"/>
        <c:crosses val="autoZero"/>
        <c:crossBetween val="midCat"/>
      </c:valAx>
      <c:valAx>
        <c:axId val="91613056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60640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21</xdr:col>
      <xdr:colOff>504825</xdr:colOff>
      <xdr:row>74</xdr:row>
      <xdr:rowOff>133351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D13" sqref="A1:D13"/>
    </sheetView>
  </sheetViews>
  <sheetFormatPr defaultRowHeight="15"/>
  <cols>
    <col min="1" max="1" width="13.42578125" style="59" bestFit="1" customWidth="1"/>
    <col min="2" max="3" width="9.140625" style="59"/>
    <col min="4" max="4" width="17.42578125" style="59" bestFit="1" customWidth="1"/>
    <col min="5" max="16384" width="9.140625" style="59"/>
  </cols>
  <sheetData>
    <row r="1" spans="1:4">
      <c r="A1" s="76" t="s">
        <v>88</v>
      </c>
      <c r="B1" s="76"/>
      <c r="C1" s="76"/>
      <c r="D1" s="76"/>
    </row>
    <row r="2" spans="1:4">
      <c r="A2" s="73" t="s">
        <v>69</v>
      </c>
      <c r="B2" s="73" t="s">
        <v>70</v>
      </c>
      <c r="C2" s="75" t="s">
        <v>71</v>
      </c>
      <c r="D2" s="75"/>
    </row>
    <row r="3" spans="1:4">
      <c r="A3" s="60" t="s">
        <v>72</v>
      </c>
      <c r="B3" s="60" t="s">
        <v>73</v>
      </c>
      <c r="C3" s="60">
        <v>1.9</v>
      </c>
      <c r="D3" s="60" t="s">
        <v>74</v>
      </c>
    </row>
    <row r="4" spans="1:4">
      <c r="A4" s="60" t="s">
        <v>68</v>
      </c>
      <c r="B4" s="60">
        <v>8</v>
      </c>
      <c r="C4" s="60">
        <v>50</v>
      </c>
      <c r="D4" s="60" t="s">
        <v>81</v>
      </c>
    </row>
    <row r="5" spans="1:4">
      <c r="A5" s="60" t="s">
        <v>72</v>
      </c>
      <c r="B5" s="74" t="s">
        <v>83</v>
      </c>
      <c r="C5" s="60">
        <v>1.9</v>
      </c>
      <c r="D5" s="60" t="s">
        <v>74</v>
      </c>
    </row>
    <row r="6" spans="1:4">
      <c r="A6" s="60" t="s">
        <v>77</v>
      </c>
      <c r="B6" s="60">
        <v>22</v>
      </c>
      <c r="C6" s="60">
        <v>10</v>
      </c>
      <c r="D6" s="60" t="s">
        <v>84</v>
      </c>
    </row>
    <row r="7" spans="1:4">
      <c r="A7" s="60" t="s">
        <v>72</v>
      </c>
      <c r="B7" s="60" t="s">
        <v>89</v>
      </c>
      <c r="C7" s="60">
        <v>1.9</v>
      </c>
      <c r="D7" s="60" t="s">
        <v>74</v>
      </c>
    </row>
    <row r="8" spans="1:4">
      <c r="A8" s="60" t="s">
        <v>72</v>
      </c>
      <c r="B8" s="60" t="s">
        <v>90</v>
      </c>
      <c r="C8" s="60">
        <v>1.8</v>
      </c>
      <c r="D8" s="60" t="s">
        <v>74</v>
      </c>
    </row>
    <row r="9" spans="1:4">
      <c r="A9" s="60" t="s">
        <v>77</v>
      </c>
      <c r="B9" s="60">
        <v>228</v>
      </c>
      <c r="C9" s="60">
        <v>10</v>
      </c>
      <c r="D9" s="60" t="s">
        <v>78</v>
      </c>
    </row>
    <row r="10" spans="1:4">
      <c r="A10" s="60" t="s">
        <v>68</v>
      </c>
      <c r="B10" s="60">
        <v>228</v>
      </c>
      <c r="C10" s="60">
        <v>260</v>
      </c>
      <c r="D10" s="60" t="s">
        <v>81</v>
      </c>
    </row>
    <row r="11" spans="1:4">
      <c r="A11" s="60" t="s">
        <v>72</v>
      </c>
      <c r="B11" s="60" t="s">
        <v>91</v>
      </c>
      <c r="C11" s="60">
        <v>2.2000000000000002</v>
      </c>
      <c r="D11" s="60" t="s">
        <v>79</v>
      </c>
    </row>
    <row r="12" spans="1:4">
      <c r="A12" s="60" t="s">
        <v>72</v>
      </c>
      <c r="B12" s="60" t="s">
        <v>85</v>
      </c>
      <c r="C12" s="60">
        <v>1.8</v>
      </c>
      <c r="D12" s="60" t="s">
        <v>79</v>
      </c>
    </row>
    <row r="13" spans="1:4">
      <c r="A13" s="60" t="s">
        <v>72</v>
      </c>
      <c r="B13" s="60" t="s">
        <v>80</v>
      </c>
      <c r="C13" s="60">
        <v>1.5</v>
      </c>
      <c r="D13" s="60" t="s">
        <v>79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abSelected="1" zoomScale="60" zoomScaleNormal="60" workbookViewId="0">
      <selection activeCell="E11" sqref="E11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63"/>
  <sheetViews>
    <sheetView topLeftCell="A33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D35" sqref="D3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G21" sqref="G21"/>
    </sheetView>
  </sheetViews>
  <sheetFormatPr defaultRowHeight="15"/>
  <cols>
    <col min="1" max="1" width="19.5703125" style="59" bestFit="1" customWidth="1"/>
    <col min="2" max="16384" width="9.140625" style="59"/>
  </cols>
  <sheetData>
    <row r="1" spans="1:3">
      <c r="A1" s="77" t="s">
        <v>26</v>
      </c>
      <c r="B1" s="77"/>
    </row>
    <row r="2" spans="1:3" ht="18">
      <c r="A2" s="60" t="s">
        <v>22</v>
      </c>
      <c r="B2" s="61">
        <v>0.03</v>
      </c>
    </row>
    <row r="3" spans="1:3" ht="18">
      <c r="A3" s="60" t="s">
        <v>23</v>
      </c>
      <c r="B3" s="61">
        <v>0.06</v>
      </c>
    </row>
    <row r="4" spans="1:3" ht="18">
      <c r="A4" s="60" t="s">
        <v>24</v>
      </c>
      <c r="B4" s="61">
        <v>0.15</v>
      </c>
    </row>
    <row r="5" spans="1:3" ht="18">
      <c r="A5" s="60" t="s">
        <v>25</v>
      </c>
      <c r="B5" s="61">
        <v>0.5</v>
      </c>
    </row>
    <row r="7" spans="1:3" ht="17.25">
      <c r="A7" s="14" t="s">
        <v>28</v>
      </c>
      <c r="B7" s="62">
        <v>1.13E-6</v>
      </c>
      <c r="C7" s="60" t="s">
        <v>29</v>
      </c>
    </row>
    <row r="9" spans="1:3">
      <c r="A9" s="14" t="s">
        <v>30</v>
      </c>
      <c r="B9" s="61">
        <v>150</v>
      </c>
    </row>
    <row r="11" spans="1:3">
      <c r="A11" s="63" t="s">
        <v>59</v>
      </c>
      <c r="B11" s="61" t="s">
        <v>60</v>
      </c>
      <c r="C11" s="60"/>
    </row>
    <row r="12" spans="1:3">
      <c r="A12" s="63" t="s">
        <v>61</v>
      </c>
      <c r="B12" s="61">
        <v>300</v>
      </c>
      <c r="C12" s="60" t="s">
        <v>62</v>
      </c>
    </row>
    <row r="13" spans="1:3">
      <c r="A13" s="63" t="s">
        <v>63</v>
      </c>
      <c r="B13" s="64">
        <v>0.5</v>
      </c>
      <c r="C13" s="60"/>
    </row>
    <row r="14" spans="1:3">
      <c r="A14" s="63" t="s">
        <v>64</v>
      </c>
      <c r="B14" s="61">
        <v>160</v>
      </c>
      <c r="C14" s="60" t="s">
        <v>66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65"/>
  <sheetViews>
    <sheetView workbookViewId="0">
      <selection activeCell="B23" sqref="B23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81" t="s">
        <v>92</v>
      </c>
      <c r="B1" s="81"/>
      <c r="C1" s="81"/>
      <c r="D1" s="82"/>
      <c r="E1" s="78" t="str">
        <f>A1</f>
        <v>Option 4A</v>
      </c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80"/>
      <c r="R1" s="78" t="str">
        <f>E1</f>
        <v>Option 4A</v>
      </c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80"/>
    </row>
    <row r="2" spans="1:45">
      <c r="A2" s="83" t="s">
        <v>13</v>
      </c>
      <c r="B2" s="84"/>
      <c r="C2" s="84"/>
      <c r="D2" s="85"/>
      <c r="E2" s="86" t="s">
        <v>14</v>
      </c>
      <c r="F2" s="87"/>
      <c r="G2" s="87"/>
      <c r="H2" s="87"/>
      <c r="I2" s="87"/>
      <c r="J2" s="87"/>
      <c r="K2" s="87"/>
      <c r="L2" s="87"/>
      <c r="M2" s="87"/>
      <c r="N2" s="88"/>
      <c r="O2" s="86" t="s">
        <v>57</v>
      </c>
      <c r="P2" s="87"/>
      <c r="Q2" s="88"/>
      <c r="R2" s="53" t="s">
        <v>50</v>
      </c>
      <c r="S2" s="32"/>
      <c r="T2" s="32"/>
      <c r="U2" s="32"/>
      <c r="V2" s="32"/>
      <c r="W2" s="32"/>
      <c r="X2" s="33"/>
      <c r="Y2" s="89" t="s">
        <v>47</v>
      </c>
      <c r="Z2" s="90"/>
      <c r="AA2" s="90"/>
      <c r="AB2" s="90"/>
      <c r="AC2" s="90"/>
      <c r="AD2" s="90"/>
      <c r="AE2" s="91"/>
      <c r="AF2" s="53" t="s">
        <v>48</v>
      </c>
      <c r="AG2" s="32"/>
      <c r="AH2" s="32"/>
      <c r="AI2" s="32"/>
      <c r="AJ2" s="32"/>
      <c r="AK2" s="32"/>
      <c r="AL2" s="33"/>
      <c r="AM2" s="89" t="s">
        <v>49</v>
      </c>
      <c r="AN2" s="90"/>
      <c r="AO2" s="90"/>
      <c r="AP2" s="90"/>
      <c r="AQ2" s="90"/>
      <c r="AR2" s="90"/>
      <c r="AS2" s="91"/>
    </row>
    <row r="3" spans="1:45" ht="18">
      <c r="A3" s="47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7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1" t="s">
        <v>56</v>
      </c>
      <c r="B4" s="18">
        <v>8</v>
      </c>
      <c r="C4" s="12">
        <f>IF(B4&gt;0,VLOOKUP(B4,$F$4:$G$263,2),"")</f>
        <v>1063.8320000000001</v>
      </c>
      <c r="D4" s="42">
        <v>50</v>
      </c>
      <c r="E4" s="35" t="str">
        <f t="shared" ref="E4:E67" si="0">IF(OR(F4=$B$11,F4=$B$12,F4=$B$13,F4=$B$14,F4=$B$15),"Reservoir",IF(OR(F4=$B$4,F4=$B$5,F4=$B$6),"Pump Station",""))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1.9</v>
      </c>
      <c r="J4" s="36">
        <f>'Flow Rate Calculations'!$B$7</f>
        <v>4.0831050228310497</v>
      </c>
      <c r="K4" s="36">
        <f>J4/I4^2/PI()*4</f>
        <v>1.440102709245225</v>
      </c>
      <c r="L4" s="37">
        <f>$I4*$K4/'Calculation Constants'!$B$7</f>
        <v>2421411.6350140949</v>
      </c>
      <c r="M4" s="37">
        <f t="shared" ref="M4:M67" si="1">IF(X4&gt;VLOOKUP(F4,$B$11:$D$15,2),"Greater Dynamic Pressures",VLOOKUP(F4,$B$11:$C$15,2)-G4)</f>
        <v>10</v>
      </c>
      <c r="N4" s="23">
        <f>W4</f>
        <v>10</v>
      </c>
      <c r="O4" s="56">
        <f t="shared" ref="O4:O67" si="2">MAX(M4,AD4)</f>
        <v>10</v>
      </c>
      <c r="P4" s="65">
        <f>MAX(I4*1000/'Calculation Constants'!$B$14,O4*10*I4*1000/2/('Calculation Constants'!$B$12*1000*'Calculation Constants'!$B$13))</f>
        <v>11.875</v>
      </c>
      <c r="Q4" s="68">
        <f t="shared" ref="Q4:Q67" si="3">(I4^2*PI()/4-(I4-P4/1000*2)^2*PI()/4)*H4*1000*7850</f>
        <v>0</v>
      </c>
      <c r="R4" s="27">
        <f>(1/(2*LOG(3.7*$I4/'Calculation Constants'!$B$2*1000)))^2</f>
        <v>8.6699836115820689E-3</v>
      </c>
      <c r="S4" s="19" t="str">
        <f>IF($H4&gt;0,R4*$H4*$K4^2/2/9.81/$I4*1000,"")</f>
        <v/>
      </c>
      <c r="T4" s="19" t="str">
        <f>IF($H4&gt;0,'Calculation Constants'!$B$9*Hydraulics!$K4^2/2/9.81/MAX($F$4:$F$263)*$H4,"")</f>
        <v/>
      </c>
      <c r="U4" s="19">
        <f>IF(S4="",0,S4+T4)</f>
        <v>0</v>
      </c>
      <c r="V4" s="19">
        <f t="shared" ref="V4:V67" si="4">IF($F4=$B$4,$D$4,(IF($F4=$B$5,$D$5,IF($F4=$B$6,$D$6,0))))</f>
        <v>0</v>
      </c>
      <c r="W4" s="19">
        <f t="shared" ref="W4:W67" si="5">IF(E4="Reservoir",VLOOKUP(F4,$B$11:$D$15,2)-G4,X4-$G4)</f>
        <v>10</v>
      </c>
      <c r="X4" s="23">
        <f t="shared" ref="X4:X67" si="6">IF($E4="Reservoir",VLOOKUP($F4,$B$11:$D$15,2)+V4,X3-U4+V4)</f>
        <v>1079.018</v>
      </c>
      <c r="Y4" s="22">
        <f>(1/(2*LOG(3.7*$I4/'Calculation Constants'!$B$3*1000)))^2</f>
        <v>9.7303620360708887E-3</v>
      </c>
      <c r="Z4" s="19" t="str">
        <f t="shared" ref="Z4:Z67" si="7">IF($H4&gt;0,Y4*$H4*$K4^2/2/9.81/$I4*1000,"")</f>
        <v/>
      </c>
      <c r="AA4" s="19" t="str">
        <f>IF($H4&gt;0,'Calculation Constants'!$B$9*Hydraulics!$K4^2/2/9.81/MAX($F$4:$F$263)*$H4,"")</f>
        <v/>
      </c>
      <c r="AB4" s="19">
        <f>IF(Z4="",0,Z4+AA4)</f>
        <v>0</v>
      </c>
      <c r="AC4" s="19">
        <f t="shared" ref="AC4:AC67" si="8">IF($F4=$B$4,$D$4,(IF($F4=$B$5,$D$5,IF($F4=$B$6,$D$6,0))))</f>
        <v>0</v>
      </c>
      <c r="AD4" s="19">
        <f>AE4-$G4</f>
        <v>10</v>
      </c>
      <c r="AE4" s="23">
        <f t="shared" ref="AE4:AE67" si="9">IF($E4="Reservoir",VLOOKUP($F4,$B$11:$D$15,2)+AC4,AE3-AB4+AC4)</f>
        <v>1079.018</v>
      </c>
      <c r="AF4" s="27">
        <f>(1/(2*LOG(3.7*$I4/'Calculation Constants'!$B$4*1000)))^2</f>
        <v>1.1458969193927592E-2</v>
      </c>
      <c r="AG4" s="19" t="str">
        <f t="shared" ref="AG4:AG67" si="10">IF($H4&gt;0,AF4*$H4*$K4^2/2/9.81/$I4*1000,"")</f>
        <v/>
      </c>
      <c r="AH4" s="19" t="str">
        <f>IF($H4&gt;0,'Calculation Constants'!$B$9*Hydraulics!$K4^2/2/9.81/MAX($F$4:$F$263)*$H4,"")</f>
        <v/>
      </c>
      <c r="AI4" s="19">
        <f>IF(AG4="",0,AG4+AH4)</f>
        <v>0</v>
      </c>
      <c r="AJ4" s="19">
        <f t="shared" ref="AJ4:AJ67" si="11">IF($F4=$B$4,$D$4,(IF($F4=$B$5,$D$5,IF($F4=$B$6,$D$6,0))))</f>
        <v>0</v>
      </c>
      <c r="AK4" s="19">
        <f>AL4-$G4</f>
        <v>10</v>
      </c>
      <c r="AL4" s="23">
        <f t="shared" ref="AL4:AL67" si="12">IF($E4="Reservoir",VLOOKUP($F4,$B$11:$D$15,2)+AJ4,AL3-AI4+AJ4)</f>
        <v>1079.018</v>
      </c>
      <c r="AM4" s="22">
        <f>(1/(2*LOG(3.7*($I4-0.008)/'Calculation Constants'!$B$5*1000)))^2</f>
        <v>1.4542845531075887E-2</v>
      </c>
      <c r="AN4" s="19" t="str">
        <f>IF($H4&gt;0,AM4*$H4*$K4^2/2/9.81/($I4-0.008)*1000,"")</f>
        <v/>
      </c>
      <c r="AO4" s="19" t="str">
        <f>IF($H4&gt;0,'Calculation Constants'!$B$9*Hydraulics!$K4^2/2/9.81/MAX($F$4:$F$263)*$H4,"")</f>
        <v/>
      </c>
      <c r="AP4" s="19">
        <f>IF(AN4="",0,AN4+AO4)</f>
        <v>0</v>
      </c>
      <c r="AQ4" s="19">
        <f t="shared" ref="AQ4:AQ67" si="13">IF($F4=$B$4,$D$4,(IF($F4=$B$5,$D$5,IF($F4=$B$6,$D$6,0))))</f>
        <v>0</v>
      </c>
      <c r="AR4" s="19">
        <f>AS4-$G4</f>
        <v>10</v>
      </c>
      <c r="AS4" s="23">
        <f t="shared" ref="AS4:AS67" si="14">IF($E4="Reservoir",VLOOKUP($F4,$B$11:$D$15,2)+AQ4,AS3-AP4+AQ4)</f>
        <v>1079.018</v>
      </c>
    </row>
    <row r="5" spans="1:45">
      <c r="A5" s="41" t="s">
        <v>87</v>
      </c>
      <c r="B5" s="18">
        <v>228</v>
      </c>
      <c r="C5" s="12">
        <f t="shared" ref="C5:C6" si="15">IF(B5&gt;0,VLOOKUP(B5,$F$4:$G$263,2),"")</f>
        <v>913.48400000000004</v>
      </c>
      <c r="D5" s="42">
        <v>260</v>
      </c>
      <c r="E5" s="35" t="str">
        <f t="shared" si="0"/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1.9</v>
      </c>
      <c r="J5" s="36">
        <f>'Flow Rate Calculations'!$B$7</f>
        <v>4.0831050228310497</v>
      </c>
      <c r="K5" s="36">
        <f t="shared" ref="K5:K68" si="16">J5/I5^2/PI()*4</f>
        <v>1.440102709245225</v>
      </c>
      <c r="L5" s="37">
        <f>$I5*$K5/'Calculation Constants'!$B$7</f>
        <v>2421411.6350140949</v>
      </c>
      <c r="M5" s="37">
        <f t="shared" si="1"/>
        <v>11.697000000000116</v>
      </c>
      <c r="N5" s="23">
        <f t="shared" ref="N5:N68" si="17">W5</f>
        <v>10.671338905068751</v>
      </c>
      <c r="O5" s="57">
        <f t="shared" si="2"/>
        <v>11.697000000000116</v>
      </c>
      <c r="P5" s="66">
        <f>MAX(I5*1000/'Calculation Constants'!$B$14,O5*10*I5*1000/2/('Calculation Constants'!$B$12*1000*'Calculation Constants'!$B$13))</f>
        <v>11.875</v>
      </c>
      <c r="Q5" s="68">
        <f t="shared" si="3"/>
        <v>1105894.9783427313</v>
      </c>
      <c r="R5" s="27">
        <f>(1/(2*LOG(3.7*$I5/'Calculation Constants'!$B$2*1000)))^2</f>
        <v>8.6699836115820689E-3</v>
      </c>
      <c r="S5" s="19">
        <f t="shared" ref="S5:S68" si="18">IF($H5&gt;0,R5*$H5*$K5^2/2/9.81/$I5*1000,"")</f>
        <v>0.96467850809376621</v>
      </c>
      <c r="T5" s="19">
        <f>IF($H5&gt;0,'Calculation Constants'!$B$9*Hydraulics!$K5^2/2/9.81/MAX($F$4:$F$263)*$H5,"")</f>
        <v>6.098258683766869E-2</v>
      </c>
      <c r="U5" s="19">
        <f t="shared" ref="U5:U68" si="19">IF(S5="",0,S5+T5)</f>
        <v>1.0256610949314349</v>
      </c>
      <c r="V5" s="19">
        <f t="shared" si="4"/>
        <v>0</v>
      </c>
      <c r="W5" s="19">
        <f t="shared" si="5"/>
        <v>10.671338905068751</v>
      </c>
      <c r="X5" s="23">
        <f t="shared" si="6"/>
        <v>1077.9923389050687</v>
      </c>
      <c r="Y5" s="22">
        <f>(1/(2*LOG(3.7*$I5/'Calculation Constants'!$B$3*1000)))^2</f>
        <v>9.7303620360708887E-3</v>
      </c>
      <c r="Z5" s="19">
        <f t="shared" si="7"/>
        <v>1.0826630767363397</v>
      </c>
      <c r="AA5" s="19">
        <f>IF($H5&gt;0,'Calculation Constants'!$B$9*Hydraulics!$K5^2/2/9.81/MAX($F$4:$F$263)*$H5,"")</f>
        <v>6.098258683766869E-2</v>
      </c>
      <c r="AB5" s="19">
        <f t="shared" ref="AB5:AB7" si="20">IF(Z5="",0,Z5+AA5)</f>
        <v>1.1436456635740084</v>
      </c>
      <c r="AC5" s="19">
        <f t="shared" si="8"/>
        <v>0</v>
      </c>
      <c r="AD5" s="19">
        <f t="shared" ref="AD5:AD68" si="21">AE5-$G5</f>
        <v>10.553354336426082</v>
      </c>
      <c r="AE5" s="23">
        <f t="shared" si="9"/>
        <v>1077.874354336426</v>
      </c>
      <c r="AF5" s="27">
        <f>(1/(2*LOG(3.7*$I5/'Calculation Constants'!$B$4*1000)))^2</f>
        <v>1.1458969193927592E-2</v>
      </c>
      <c r="AG5" s="19">
        <f t="shared" si="10"/>
        <v>1.274999100520025</v>
      </c>
      <c r="AH5" s="19">
        <f>IF($H5&gt;0,'Calculation Constants'!$B$9*Hydraulics!$K5^2/2/9.81/MAX($F$4:$F$263)*$H5,"")</f>
        <v>6.098258683766869E-2</v>
      </c>
      <c r="AI5" s="19">
        <f t="shared" ref="AI5:AI68" si="22">IF(AG5="",0,AG5+AH5)</f>
        <v>1.3359816873576937</v>
      </c>
      <c r="AJ5" s="19">
        <f t="shared" si="11"/>
        <v>0</v>
      </c>
      <c r="AK5" s="19">
        <f t="shared" ref="AK5:AK68" si="23">AL5-$G5</f>
        <v>10.3610183126425</v>
      </c>
      <c r="AL5" s="23">
        <f t="shared" si="12"/>
        <v>1077.6820183126424</v>
      </c>
      <c r="AM5" s="22">
        <f>(1/(2*LOG(3.7*($I5-0.008)/'Calculation Constants'!$B$5*1000)))^2</f>
        <v>1.4542845531075887E-2</v>
      </c>
      <c r="AN5" s="19">
        <f t="shared" ref="AN5:AN68" si="24">IF($H5&gt;0,AM5*$H5*$K5^2/2/9.81/($I5-0.008)*1000,"")</f>
        <v>1.6249731396833385</v>
      </c>
      <c r="AO5" s="19">
        <f>IF($H5&gt;0,'Calculation Constants'!$B$9*Hydraulics!$K5^2/2/9.81/MAX($F$4:$F$263)*$H5,"")</f>
        <v>6.098258683766869E-2</v>
      </c>
      <c r="AP5" s="19">
        <f t="shared" ref="AP5:AP68" si="25">IF(AN5="",0,AN5+AO5)</f>
        <v>1.6859557265210072</v>
      </c>
      <c r="AQ5" s="19">
        <f t="shared" si="13"/>
        <v>0</v>
      </c>
      <c r="AR5" s="19">
        <f t="shared" ref="AR5:AR68" si="26">AS5-$G5</f>
        <v>10.011044273479001</v>
      </c>
      <c r="AS5" s="23">
        <f t="shared" si="14"/>
        <v>1077.3320442734789</v>
      </c>
    </row>
    <row r="6" spans="1:45" ht="15.75" thickBot="1">
      <c r="A6" s="43"/>
      <c r="B6" s="44"/>
      <c r="C6" s="45" t="str">
        <f t="shared" si="15"/>
        <v/>
      </c>
      <c r="D6" s="46"/>
      <c r="E6" s="35" t="str">
        <f t="shared" si="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7">F6-F5</f>
        <v>2</v>
      </c>
      <c r="I6" s="19">
        <v>1.9</v>
      </c>
      <c r="J6" s="36">
        <f>'Flow Rate Calculations'!$B$7</f>
        <v>4.0831050228310497</v>
      </c>
      <c r="K6" s="36">
        <f t="shared" si="16"/>
        <v>1.440102709245225</v>
      </c>
      <c r="L6" s="37">
        <f>$I6*$K6/'Calculation Constants'!$B$7</f>
        <v>2421411.6350140949</v>
      </c>
      <c r="M6" s="37">
        <f t="shared" si="1"/>
        <v>14.982999999999947</v>
      </c>
      <c r="N6" s="23">
        <f t="shared" si="17"/>
        <v>12.931677810137217</v>
      </c>
      <c r="O6" s="57">
        <f t="shared" si="2"/>
        <v>14.982999999999947</v>
      </c>
      <c r="P6" s="66">
        <f>MAX(I6*1000/'Calculation Constants'!$B$14,O6*10*I6*1000/2/('Calculation Constants'!$B$12*1000*'Calculation Constants'!$B$13))</f>
        <v>11.875</v>
      </c>
      <c r="Q6" s="68">
        <f t="shared" si="3"/>
        <v>1105894.9783427313</v>
      </c>
      <c r="R6" s="27">
        <f>(1/(2*LOG(3.7*$I6/'Calculation Constants'!$B$2*1000)))^2</f>
        <v>8.6699836115820689E-3</v>
      </c>
      <c r="S6" s="19">
        <f t="shared" si="18"/>
        <v>0.96467850809376621</v>
      </c>
      <c r="T6" s="19">
        <f>IF($H6&gt;0,'Calculation Constants'!$B$9*Hydraulics!$K6^2/2/9.81/MAX($F$4:$F$263)*$H6,"")</f>
        <v>6.098258683766869E-2</v>
      </c>
      <c r="U6" s="19">
        <f t="shared" si="19"/>
        <v>1.0256610949314349</v>
      </c>
      <c r="V6" s="19">
        <f t="shared" si="4"/>
        <v>0</v>
      </c>
      <c r="W6" s="19">
        <f t="shared" si="5"/>
        <v>12.931677810137217</v>
      </c>
      <c r="X6" s="23">
        <f t="shared" si="6"/>
        <v>1076.9666778101373</v>
      </c>
      <c r="Y6" s="22">
        <f>(1/(2*LOG(3.7*$I6/'Calculation Constants'!$B$3*1000)))^2</f>
        <v>9.7303620360708887E-3</v>
      </c>
      <c r="Z6" s="19">
        <f t="shared" si="7"/>
        <v>1.0826630767363397</v>
      </c>
      <c r="AA6" s="19">
        <f>IF($H6&gt;0,'Calculation Constants'!$B$9*Hydraulics!$K6^2/2/9.81/MAX($F$4:$F$263)*$H6,"")</f>
        <v>6.098258683766869E-2</v>
      </c>
      <c r="AB6" s="19">
        <f t="shared" si="20"/>
        <v>1.1436456635740084</v>
      </c>
      <c r="AC6" s="19">
        <f t="shared" si="8"/>
        <v>0</v>
      </c>
      <c r="AD6" s="19">
        <f t="shared" si="21"/>
        <v>12.695708672851879</v>
      </c>
      <c r="AE6" s="23">
        <f t="shared" si="9"/>
        <v>1076.730708672852</v>
      </c>
      <c r="AF6" s="27">
        <f>(1/(2*LOG(3.7*$I6/'Calculation Constants'!$B$4*1000)))^2</f>
        <v>1.1458969193927592E-2</v>
      </c>
      <c r="AG6" s="19">
        <f t="shared" si="10"/>
        <v>1.274999100520025</v>
      </c>
      <c r="AH6" s="19">
        <f>IF($H6&gt;0,'Calculation Constants'!$B$9*Hydraulics!$K6^2/2/9.81/MAX($F$4:$F$263)*$H6,"")</f>
        <v>6.098258683766869E-2</v>
      </c>
      <c r="AI6" s="19">
        <f t="shared" si="22"/>
        <v>1.3359816873576937</v>
      </c>
      <c r="AJ6" s="19">
        <f t="shared" si="11"/>
        <v>0</v>
      </c>
      <c r="AK6" s="19">
        <f t="shared" si="23"/>
        <v>12.311036625284714</v>
      </c>
      <c r="AL6" s="23">
        <f t="shared" si="12"/>
        <v>1076.3460366252848</v>
      </c>
      <c r="AM6" s="22">
        <f>(1/(2*LOG(3.7*($I6-0.008)/'Calculation Constants'!$B$5*1000)))^2</f>
        <v>1.4542845531075887E-2</v>
      </c>
      <c r="AN6" s="19">
        <f t="shared" si="24"/>
        <v>1.6249731396833385</v>
      </c>
      <c r="AO6" s="19">
        <f>IF($H6&gt;0,'Calculation Constants'!$B$9*Hydraulics!$K6^2/2/9.81/MAX($F$4:$F$263)*$H6,"")</f>
        <v>6.098258683766869E-2</v>
      </c>
      <c r="AP6" s="19">
        <f t="shared" si="25"/>
        <v>1.6859557265210072</v>
      </c>
      <c r="AQ6" s="19">
        <f t="shared" si="13"/>
        <v>0</v>
      </c>
      <c r="AR6" s="19">
        <f t="shared" si="26"/>
        <v>11.611088546957717</v>
      </c>
      <c r="AS6" s="23">
        <f t="shared" si="14"/>
        <v>1075.6460885469578</v>
      </c>
    </row>
    <row r="7" spans="1:45">
      <c r="E7" s="35" t="str">
        <f t="shared" si="0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7"/>
        <v>2</v>
      </c>
      <c r="I7" s="19">
        <v>1.9</v>
      </c>
      <c r="J7" s="36">
        <f>'Flow Rate Calculations'!$B$7</f>
        <v>4.0831050228310497</v>
      </c>
      <c r="K7" s="36">
        <f t="shared" si="16"/>
        <v>1.440102709245225</v>
      </c>
      <c r="L7" s="37">
        <f>$I7*$K7/'Calculation Constants'!$B$7</f>
        <v>2421411.6350140949</v>
      </c>
      <c r="M7" s="37" t="str">
        <f t="shared" si="1"/>
        <v>Greater Dynamic Pressures</v>
      </c>
      <c r="N7" s="23">
        <f t="shared" si="17"/>
        <v>62.109016715205826</v>
      </c>
      <c r="O7" s="57">
        <f t="shared" si="2"/>
        <v>61.755063009277819</v>
      </c>
      <c r="P7" s="66">
        <f>MAX(I7*1000/'Calculation Constants'!$B$14,O7*10*I7*1000/2/('Calculation Constants'!$B$12*1000*'Calculation Constants'!$B$13))</f>
        <v>11.875</v>
      </c>
      <c r="Q7" s="68">
        <f t="shared" si="3"/>
        <v>1105894.9783427313</v>
      </c>
      <c r="R7" s="27">
        <f>(1/(2*LOG(3.7*$I7/'Calculation Constants'!$B$2*1000)))^2</f>
        <v>8.6699836115820689E-3</v>
      </c>
      <c r="S7" s="19">
        <f t="shared" si="18"/>
        <v>0.96467850809376621</v>
      </c>
      <c r="T7" s="19">
        <f>IF($H7&gt;0,'Calculation Constants'!$B$9*Hydraulics!$K7^2/2/9.81/MAX($F$4:$F$263)*$H7,"")</f>
        <v>6.098258683766869E-2</v>
      </c>
      <c r="U7" s="19">
        <f t="shared" si="19"/>
        <v>1.0256610949314349</v>
      </c>
      <c r="V7" s="19">
        <f t="shared" si="4"/>
        <v>50</v>
      </c>
      <c r="W7" s="19">
        <f t="shared" si="5"/>
        <v>62.109016715205826</v>
      </c>
      <c r="X7" s="23">
        <f t="shared" si="6"/>
        <v>1125.9410167152059</v>
      </c>
      <c r="Y7" s="22">
        <f>(1/(2*LOG(3.7*$I7/'Calculation Constants'!$B$3*1000)))^2</f>
        <v>9.7303620360708887E-3</v>
      </c>
      <c r="Z7" s="19">
        <f t="shared" si="7"/>
        <v>1.0826630767363397</v>
      </c>
      <c r="AA7" s="19">
        <f>IF($H7&gt;0,'Calculation Constants'!$B$9*Hydraulics!$K7^2/2/9.81/MAX($F$4:$F$263)*$H7,"")</f>
        <v>6.098258683766869E-2</v>
      </c>
      <c r="AB7" s="19">
        <f t="shared" si="20"/>
        <v>1.1436456635740084</v>
      </c>
      <c r="AC7" s="19">
        <f t="shared" si="8"/>
        <v>50</v>
      </c>
      <c r="AD7" s="19">
        <f t="shared" si="21"/>
        <v>61.755063009277819</v>
      </c>
      <c r="AE7" s="23">
        <f t="shared" si="9"/>
        <v>1125.5870630092779</v>
      </c>
      <c r="AF7" s="27">
        <f>(1/(2*LOG(3.7*$I7/'Calculation Constants'!$B$4*1000)))^2</f>
        <v>1.1458969193927592E-2</v>
      </c>
      <c r="AG7" s="19">
        <f t="shared" si="10"/>
        <v>1.274999100520025</v>
      </c>
      <c r="AH7" s="19">
        <f>IF($H7&gt;0,'Calculation Constants'!$B$9*Hydraulics!$K7^2/2/9.81/MAX($F$4:$F$263)*$H7,"")</f>
        <v>6.098258683766869E-2</v>
      </c>
      <c r="AI7" s="19">
        <f t="shared" si="22"/>
        <v>1.3359816873576937</v>
      </c>
      <c r="AJ7" s="19">
        <f t="shared" si="11"/>
        <v>50</v>
      </c>
      <c r="AK7" s="19">
        <f t="shared" si="23"/>
        <v>61.178054937927072</v>
      </c>
      <c r="AL7" s="23">
        <f t="shared" si="12"/>
        <v>1125.0100549379272</v>
      </c>
      <c r="AM7" s="22">
        <f>(1/(2*LOG(3.7*($I7-0.008)/'Calculation Constants'!$B$5*1000)))^2</f>
        <v>1.4542845531075887E-2</v>
      </c>
      <c r="AN7" s="19">
        <f t="shared" si="24"/>
        <v>1.6249731396833385</v>
      </c>
      <c r="AO7" s="19">
        <f>IF($H7&gt;0,'Calculation Constants'!$B$9*Hydraulics!$K7^2/2/9.81/MAX($F$4:$F$263)*$H7,"")</f>
        <v>6.098258683766869E-2</v>
      </c>
      <c r="AP7" s="19">
        <f t="shared" si="25"/>
        <v>1.6859557265210072</v>
      </c>
      <c r="AQ7" s="19">
        <f t="shared" si="13"/>
        <v>50</v>
      </c>
      <c r="AR7" s="19">
        <f t="shared" si="26"/>
        <v>60.128132820436576</v>
      </c>
      <c r="AS7" s="23">
        <f t="shared" si="14"/>
        <v>1123.9601328204367</v>
      </c>
    </row>
    <row r="8" spans="1:45" ht="15.75" thickBot="1">
      <c r="E8" s="35" t="str">
        <f t="shared" si="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7"/>
        <v>2</v>
      </c>
      <c r="I8" s="19">
        <v>1.9</v>
      </c>
      <c r="J8" s="36">
        <f>'Flow Rate Calculations'!$B$7</f>
        <v>4.0831050228310497</v>
      </c>
      <c r="K8" s="36">
        <f t="shared" si="16"/>
        <v>1.440102709245225</v>
      </c>
      <c r="L8" s="37">
        <f>$I8*$K8/'Calculation Constants'!$B$7</f>
        <v>2421411.6350140949</v>
      </c>
      <c r="M8" s="37" t="str">
        <f t="shared" si="1"/>
        <v>Greater Dynamic Pressures</v>
      </c>
      <c r="N8" s="23">
        <f t="shared" si="17"/>
        <v>57.022355620274539</v>
      </c>
      <c r="O8" s="57">
        <f t="shared" si="2"/>
        <v>56.550417345703863</v>
      </c>
      <c r="P8" s="66">
        <f>MAX(I8*1000/'Calculation Constants'!$B$14,O8*10*I8*1000/2/('Calculation Constants'!$B$12*1000*'Calculation Constants'!$B$13))</f>
        <v>11.875</v>
      </c>
      <c r="Q8" s="68">
        <f t="shared" si="3"/>
        <v>1105894.9783427313</v>
      </c>
      <c r="R8" s="27">
        <f>(1/(2*LOG(3.7*$I8/'Calculation Constants'!$B$2*1000)))^2</f>
        <v>8.6699836115820689E-3</v>
      </c>
      <c r="S8" s="19">
        <f t="shared" si="18"/>
        <v>0.96467850809376621</v>
      </c>
      <c r="T8" s="19">
        <f>IF($H8&gt;0,'Calculation Constants'!$B$9*Hydraulics!$K8^2/2/9.81/MAX($F$4:$F$263)*$H8,"")</f>
        <v>6.098258683766869E-2</v>
      </c>
      <c r="U8" s="19">
        <f t="shared" si="19"/>
        <v>1.0256610949314349</v>
      </c>
      <c r="V8" s="19">
        <f t="shared" si="4"/>
        <v>0</v>
      </c>
      <c r="W8" s="19">
        <f t="shared" si="5"/>
        <v>57.022355620274539</v>
      </c>
      <c r="X8" s="23">
        <f t="shared" si="6"/>
        <v>1124.9153556202746</v>
      </c>
      <c r="Y8" s="22">
        <f>(1/(2*LOG(3.7*$I8/'Calculation Constants'!$B$3*1000)))^2</f>
        <v>9.7303620360708887E-3</v>
      </c>
      <c r="Z8" s="19">
        <f t="shared" si="7"/>
        <v>1.0826630767363397</v>
      </c>
      <c r="AA8" s="19">
        <f>IF($H8&gt;0,'Calculation Constants'!$B$9*Hydraulics!$K8^2/2/9.81/MAX($F$4:$F$263)*$H8,"")</f>
        <v>6.098258683766869E-2</v>
      </c>
      <c r="AB8" s="19">
        <f t="shared" ref="AB8:AB71" si="28">IF(Z8="",0,Z8+AA8)</f>
        <v>1.1436456635740084</v>
      </c>
      <c r="AC8" s="19">
        <f t="shared" si="8"/>
        <v>0</v>
      </c>
      <c r="AD8" s="19">
        <f t="shared" si="21"/>
        <v>56.550417345703863</v>
      </c>
      <c r="AE8" s="23">
        <f t="shared" si="9"/>
        <v>1124.4434173457039</v>
      </c>
      <c r="AF8" s="27">
        <f>(1/(2*LOG(3.7*$I8/'Calculation Constants'!$B$4*1000)))^2</f>
        <v>1.1458969193927592E-2</v>
      </c>
      <c r="AG8" s="19">
        <f t="shared" si="10"/>
        <v>1.274999100520025</v>
      </c>
      <c r="AH8" s="19">
        <f>IF($H8&gt;0,'Calculation Constants'!$B$9*Hydraulics!$K8^2/2/9.81/MAX($F$4:$F$263)*$H8,"")</f>
        <v>6.098258683766869E-2</v>
      </c>
      <c r="AI8" s="19">
        <f t="shared" si="22"/>
        <v>1.3359816873576937</v>
      </c>
      <c r="AJ8" s="19">
        <f t="shared" si="11"/>
        <v>0</v>
      </c>
      <c r="AK8" s="19">
        <f t="shared" si="23"/>
        <v>55.781073250569534</v>
      </c>
      <c r="AL8" s="23">
        <f t="shared" si="12"/>
        <v>1123.6740732505696</v>
      </c>
      <c r="AM8" s="22">
        <f>(1/(2*LOG(3.7*($I8-0.008)/'Calculation Constants'!$B$5*1000)))^2</f>
        <v>1.4542845531075887E-2</v>
      </c>
      <c r="AN8" s="19">
        <f t="shared" si="24"/>
        <v>1.6249731396833385</v>
      </c>
      <c r="AO8" s="19">
        <f>IF($H8&gt;0,'Calculation Constants'!$B$9*Hydraulics!$K8^2/2/9.81/MAX($F$4:$F$263)*$H8,"")</f>
        <v>6.098258683766869E-2</v>
      </c>
      <c r="AP8" s="19">
        <f t="shared" si="25"/>
        <v>1.6859557265210072</v>
      </c>
      <c r="AQ8" s="19">
        <f t="shared" si="13"/>
        <v>0</v>
      </c>
      <c r="AR8" s="19">
        <f t="shared" si="26"/>
        <v>54.381177093915539</v>
      </c>
      <c r="AS8" s="23">
        <f t="shared" si="14"/>
        <v>1122.2741770939156</v>
      </c>
    </row>
    <row r="9" spans="1:45">
      <c r="A9" s="86" t="s">
        <v>75</v>
      </c>
      <c r="B9" s="87"/>
      <c r="C9" s="87"/>
      <c r="D9" s="88"/>
      <c r="E9" s="35" t="str">
        <f t="shared" si="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7"/>
        <v>2</v>
      </c>
      <c r="I9" s="19">
        <v>1.9</v>
      </c>
      <c r="J9" s="36">
        <f>'Flow Rate Calculations'!$B$7</f>
        <v>4.0831050228310497</v>
      </c>
      <c r="K9" s="36">
        <f t="shared" si="16"/>
        <v>1.440102709245225</v>
      </c>
      <c r="L9" s="37">
        <f>$I9*$K9/'Calculation Constants'!$B$7</f>
        <v>2421411.6350140949</v>
      </c>
      <c r="M9" s="37" t="str">
        <f t="shared" si="1"/>
        <v>Greater Dynamic Pressures</v>
      </c>
      <c r="N9" s="23">
        <f t="shared" si="17"/>
        <v>48.756694525343164</v>
      </c>
      <c r="O9" s="57">
        <f t="shared" si="2"/>
        <v>48.16677168212982</v>
      </c>
      <c r="P9" s="66">
        <f>MAX(I9*1000/'Calculation Constants'!$B$14,O9*10*I9*1000/2/('Calculation Constants'!$B$12*1000*'Calculation Constants'!$B$13))</f>
        <v>11.875</v>
      </c>
      <c r="Q9" s="68">
        <f t="shared" si="3"/>
        <v>1105894.9783427313</v>
      </c>
      <c r="R9" s="27">
        <f>(1/(2*LOG(3.7*$I9/'Calculation Constants'!$B$2*1000)))^2</f>
        <v>8.6699836115820689E-3</v>
      </c>
      <c r="S9" s="19">
        <f t="shared" si="18"/>
        <v>0.96467850809376621</v>
      </c>
      <c r="T9" s="19">
        <f>IF($H9&gt;0,'Calculation Constants'!$B$9*Hydraulics!$K9^2/2/9.81/MAX($F$4:$F$263)*$H9,"")</f>
        <v>6.098258683766869E-2</v>
      </c>
      <c r="U9" s="19">
        <f t="shared" si="19"/>
        <v>1.0256610949314349</v>
      </c>
      <c r="V9" s="19">
        <f t="shared" si="4"/>
        <v>0</v>
      </c>
      <c r="W9" s="19">
        <f t="shared" si="5"/>
        <v>48.756694525343164</v>
      </c>
      <c r="X9" s="23">
        <f t="shared" si="6"/>
        <v>1123.8896945253432</v>
      </c>
      <c r="Y9" s="22">
        <f>(1/(2*LOG(3.7*$I9/'Calculation Constants'!$B$3*1000)))^2</f>
        <v>9.7303620360708887E-3</v>
      </c>
      <c r="Z9" s="19">
        <f t="shared" si="7"/>
        <v>1.0826630767363397</v>
      </c>
      <c r="AA9" s="19">
        <f>IF($H9&gt;0,'Calculation Constants'!$B$9*Hydraulics!$K9^2/2/9.81/MAX($F$4:$F$263)*$H9,"")</f>
        <v>6.098258683766869E-2</v>
      </c>
      <c r="AB9" s="19">
        <f t="shared" si="28"/>
        <v>1.1436456635740084</v>
      </c>
      <c r="AC9" s="19">
        <f t="shared" si="8"/>
        <v>0</v>
      </c>
      <c r="AD9" s="19">
        <f t="shared" si="21"/>
        <v>48.16677168212982</v>
      </c>
      <c r="AE9" s="23">
        <f t="shared" si="9"/>
        <v>1123.2997716821299</v>
      </c>
      <c r="AF9" s="27">
        <f>(1/(2*LOG(3.7*$I9/'Calculation Constants'!$B$4*1000)))^2</f>
        <v>1.1458969193927592E-2</v>
      </c>
      <c r="AG9" s="19">
        <f t="shared" si="10"/>
        <v>1.274999100520025</v>
      </c>
      <c r="AH9" s="19">
        <f>IF($H9&gt;0,'Calculation Constants'!$B$9*Hydraulics!$K9^2/2/9.81/MAX($F$4:$F$263)*$H9,"")</f>
        <v>6.098258683766869E-2</v>
      </c>
      <c r="AI9" s="19">
        <f t="shared" si="22"/>
        <v>1.3359816873576937</v>
      </c>
      <c r="AJ9" s="19">
        <f t="shared" si="11"/>
        <v>0</v>
      </c>
      <c r="AK9" s="19">
        <f t="shared" si="23"/>
        <v>47.205091563211909</v>
      </c>
      <c r="AL9" s="23">
        <f t="shared" si="12"/>
        <v>1122.3380915632119</v>
      </c>
      <c r="AM9" s="22">
        <f>(1/(2*LOG(3.7*($I9-0.008)/'Calculation Constants'!$B$5*1000)))^2</f>
        <v>1.4542845531075887E-2</v>
      </c>
      <c r="AN9" s="19">
        <f t="shared" si="24"/>
        <v>1.6249731396833385</v>
      </c>
      <c r="AO9" s="19">
        <f>IF($H9&gt;0,'Calculation Constants'!$B$9*Hydraulics!$K9^2/2/9.81/MAX($F$4:$F$263)*$H9,"")</f>
        <v>6.098258683766869E-2</v>
      </c>
      <c r="AP9" s="19">
        <f t="shared" si="25"/>
        <v>1.6859557265210072</v>
      </c>
      <c r="AQ9" s="19">
        <f t="shared" si="13"/>
        <v>0</v>
      </c>
      <c r="AR9" s="19">
        <f t="shared" si="26"/>
        <v>45.455221367394415</v>
      </c>
      <c r="AS9" s="23">
        <f t="shared" si="14"/>
        <v>1120.5882213673945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7"/>
        <v>2</v>
      </c>
      <c r="I10" s="19">
        <v>1.9</v>
      </c>
      <c r="J10" s="36">
        <f>'Flow Rate Calculations'!$B$7</f>
        <v>4.0831050228310497</v>
      </c>
      <c r="K10" s="36">
        <f t="shared" si="16"/>
        <v>1.440102709245225</v>
      </c>
      <c r="L10" s="37">
        <f>$I10*$K10/'Calculation Constants'!$B$7</f>
        <v>2421411.6350140949</v>
      </c>
      <c r="M10" s="37" t="str">
        <f t="shared" si="1"/>
        <v>Greater Dynamic Pressures</v>
      </c>
      <c r="N10" s="23">
        <f t="shared" si="17"/>
        <v>40.096033430411808</v>
      </c>
      <c r="O10" s="57">
        <f t="shared" si="2"/>
        <v>39.388126018555795</v>
      </c>
      <c r="P10" s="66">
        <f>MAX(I10*1000/'Calculation Constants'!$B$14,O10*10*I10*1000/2/('Calculation Constants'!$B$12*1000*'Calculation Constants'!$B$13))</f>
        <v>11.875</v>
      </c>
      <c r="Q10" s="68">
        <f t="shared" si="3"/>
        <v>1105894.9783427313</v>
      </c>
      <c r="R10" s="27">
        <f>(1/(2*LOG(3.7*$I10/'Calculation Constants'!$B$2*1000)))^2</f>
        <v>8.6699836115820689E-3</v>
      </c>
      <c r="S10" s="19">
        <f t="shared" si="18"/>
        <v>0.96467850809376621</v>
      </c>
      <c r="T10" s="19">
        <f>IF($H10&gt;0,'Calculation Constants'!$B$9*Hydraulics!$K10^2/2/9.81/MAX($F$4:$F$263)*$H10,"")</f>
        <v>6.098258683766869E-2</v>
      </c>
      <c r="U10" s="19">
        <f t="shared" si="19"/>
        <v>1.0256610949314349</v>
      </c>
      <c r="V10" s="19">
        <f t="shared" si="4"/>
        <v>0</v>
      </c>
      <c r="W10" s="19">
        <f t="shared" si="5"/>
        <v>40.096033430411808</v>
      </c>
      <c r="X10" s="23">
        <f t="shared" si="6"/>
        <v>1122.8640334304118</v>
      </c>
      <c r="Y10" s="22">
        <f>(1/(2*LOG(3.7*$I10/'Calculation Constants'!$B$3*1000)))^2</f>
        <v>9.7303620360708887E-3</v>
      </c>
      <c r="Z10" s="19">
        <f t="shared" si="7"/>
        <v>1.0826630767363397</v>
      </c>
      <c r="AA10" s="19">
        <f>IF($H10&gt;0,'Calculation Constants'!$B$9*Hydraulics!$K10^2/2/9.81/MAX($F$4:$F$263)*$H10,"")</f>
        <v>6.098258683766869E-2</v>
      </c>
      <c r="AB10" s="19">
        <f t="shared" si="28"/>
        <v>1.1436456635740084</v>
      </c>
      <c r="AC10" s="19">
        <f t="shared" si="8"/>
        <v>0</v>
      </c>
      <c r="AD10" s="19">
        <f t="shared" si="21"/>
        <v>39.388126018555795</v>
      </c>
      <c r="AE10" s="23">
        <f t="shared" si="9"/>
        <v>1122.1561260185558</v>
      </c>
      <c r="AF10" s="27">
        <f>(1/(2*LOG(3.7*$I10/'Calculation Constants'!$B$4*1000)))^2</f>
        <v>1.1458969193927592E-2</v>
      </c>
      <c r="AG10" s="19">
        <f t="shared" si="10"/>
        <v>1.274999100520025</v>
      </c>
      <c r="AH10" s="19">
        <f>IF($H10&gt;0,'Calculation Constants'!$B$9*Hydraulics!$K10^2/2/9.81/MAX($F$4:$F$263)*$H10,"")</f>
        <v>6.098258683766869E-2</v>
      </c>
      <c r="AI10" s="19">
        <f t="shared" si="22"/>
        <v>1.3359816873576937</v>
      </c>
      <c r="AJ10" s="19">
        <f t="shared" si="11"/>
        <v>0</v>
      </c>
      <c r="AK10" s="19">
        <f t="shared" si="23"/>
        <v>38.234109875854301</v>
      </c>
      <c r="AL10" s="23">
        <f t="shared" si="12"/>
        <v>1121.0021098758543</v>
      </c>
      <c r="AM10" s="22">
        <f>(1/(2*LOG(3.7*($I10-0.008)/'Calculation Constants'!$B$5*1000)))^2</f>
        <v>1.4542845531075887E-2</v>
      </c>
      <c r="AN10" s="19">
        <f t="shared" si="24"/>
        <v>1.6249731396833385</v>
      </c>
      <c r="AO10" s="19">
        <f>IF($H10&gt;0,'Calculation Constants'!$B$9*Hydraulics!$K10^2/2/9.81/MAX($F$4:$F$263)*$H10,"")</f>
        <v>6.098258683766869E-2</v>
      </c>
      <c r="AP10" s="19">
        <f t="shared" si="25"/>
        <v>1.6859557265210072</v>
      </c>
      <c r="AQ10" s="19">
        <f t="shared" si="13"/>
        <v>0</v>
      </c>
      <c r="AR10" s="19">
        <f t="shared" si="26"/>
        <v>36.134265640873309</v>
      </c>
      <c r="AS10" s="23">
        <f t="shared" si="14"/>
        <v>1118.9022656408733</v>
      </c>
    </row>
    <row r="11" spans="1:45">
      <c r="A11" s="41" t="s">
        <v>16</v>
      </c>
      <c r="B11" s="18">
        <v>2</v>
      </c>
      <c r="C11" s="12">
        <f>IF(B11&gt;0,VLOOKUP(B11,$F$4:$G$263,2)+D11,"")</f>
        <v>1079.018</v>
      </c>
      <c r="D11" s="42">
        <v>10</v>
      </c>
      <c r="E11" s="35" t="str">
        <f t="shared" si="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7"/>
        <v>2</v>
      </c>
      <c r="I11" s="19">
        <v>1.9</v>
      </c>
      <c r="J11" s="36">
        <f>'Flow Rate Calculations'!$B$7</f>
        <v>4.0831050228310497</v>
      </c>
      <c r="K11" s="36">
        <f t="shared" si="16"/>
        <v>1.440102709245225</v>
      </c>
      <c r="L11" s="37">
        <f>$I11*$K11/'Calculation Constants'!$B$7</f>
        <v>2421411.6350140949</v>
      </c>
      <c r="M11" s="37" t="str">
        <f t="shared" si="1"/>
        <v>Greater Dynamic Pressures</v>
      </c>
      <c r="N11" s="23">
        <f t="shared" si="17"/>
        <v>32.112372335480359</v>
      </c>
      <c r="O11" s="57">
        <f t="shared" si="2"/>
        <v>31.286480354981677</v>
      </c>
      <c r="P11" s="66">
        <f>MAX(I11*1000/'Calculation Constants'!$B$14,O11*10*I11*1000/2/('Calculation Constants'!$B$12*1000*'Calculation Constants'!$B$13))</f>
        <v>11.875</v>
      </c>
      <c r="Q11" s="68">
        <f t="shared" si="3"/>
        <v>1105894.9783427313</v>
      </c>
      <c r="R11" s="27">
        <f>(1/(2*LOG(3.7*$I11/'Calculation Constants'!$B$2*1000)))^2</f>
        <v>8.6699836115820689E-3</v>
      </c>
      <c r="S11" s="19">
        <f t="shared" si="18"/>
        <v>0.96467850809376621</v>
      </c>
      <c r="T11" s="19">
        <f>IF($H11&gt;0,'Calculation Constants'!$B$9*Hydraulics!$K11^2/2/9.81/MAX($F$4:$F$263)*$H11,"")</f>
        <v>6.098258683766869E-2</v>
      </c>
      <c r="U11" s="19">
        <f t="shared" si="19"/>
        <v>1.0256610949314349</v>
      </c>
      <c r="V11" s="19">
        <f t="shared" si="4"/>
        <v>0</v>
      </c>
      <c r="W11" s="19">
        <f t="shared" si="5"/>
        <v>32.112372335480359</v>
      </c>
      <c r="X11" s="23">
        <f t="shared" si="6"/>
        <v>1121.8383723354805</v>
      </c>
      <c r="Y11" s="22">
        <f>(1/(2*LOG(3.7*$I11/'Calculation Constants'!$B$3*1000)))^2</f>
        <v>9.7303620360708887E-3</v>
      </c>
      <c r="Z11" s="19">
        <f t="shared" si="7"/>
        <v>1.0826630767363397</v>
      </c>
      <c r="AA11" s="19">
        <f>IF($H11&gt;0,'Calculation Constants'!$B$9*Hydraulics!$K11^2/2/9.81/MAX($F$4:$F$263)*$H11,"")</f>
        <v>6.098258683766869E-2</v>
      </c>
      <c r="AB11" s="19">
        <f t="shared" si="28"/>
        <v>1.1436456635740084</v>
      </c>
      <c r="AC11" s="19">
        <f t="shared" si="8"/>
        <v>0</v>
      </c>
      <c r="AD11" s="19">
        <f t="shared" si="21"/>
        <v>31.286480354981677</v>
      </c>
      <c r="AE11" s="23">
        <f t="shared" si="9"/>
        <v>1121.0124803549818</v>
      </c>
      <c r="AF11" s="27">
        <f>(1/(2*LOG(3.7*$I11/'Calculation Constants'!$B$4*1000)))^2</f>
        <v>1.1458969193927592E-2</v>
      </c>
      <c r="AG11" s="19">
        <f t="shared" si="10"/>
        <v>1.274999100520025</v>
      </c>
      <c r="AH11" s="19">
        <f>IF($H11&gt;0,'Calculation Constants'!$B$9*Hydraulics!$K11^2/2/9.81/MAX($F$4:$F$263)*$H11,"")</f>
        <v>6.098258683766869E-2</v>
      </c>
      <c r="AI11" s="19">
        <f t="shared" si="22"/>
        <v>1.3359816873576937</v>
      </c>
      <c r="AJ11" s="19">
        <f t="shared" si="11"/>
        <v>0</v>
      </c>
      <c r="AK11" s="19">
        <f t="shared" si="23"/>
        <v>29.940128188496601</v>
      </c>
      <c r="AL11" s="23">
        <f t="shared" si="12"/>
        <v>1119.6661281884967</v>
      </c>
      <c r="AM11" s="22">
        <f>(1/(2*LOG(3.7*($I11-0.008)/'Calculation Constants'!$B$5*1000)))^2</f>
        <v>1.4542845531075887E-2</v>
      </c>
      <c r="AN11" s="19">
        <f t="shared" si="24"/>
        <v>1.6249731396833385</v>
      </c>
      <c r="AO11" s="19">
        <f>IF($H11&gt;0,'Calculation Constants'!$B$9*Hydraulics!$K11^2/2/9.81/MAX($F$4:$F$263)*$H11,"")</f>
        <v>6.098258683766869E-2</v>
      </c>
      <c r="AP11" s="19">
        <f t="shared" si="25"/>
        <v>1.6859557265210072</v>
      </c>
      <c r="AQ11" s="19">
        <f t="shared" si="13"/>
        <v>0</v>
      </c>
      <c r="AR11" s="19">
        <f t="shared" si="26"/>
        <v>27.49030991435211</v>
      </c>
      <c r="AS11" s="23">
        <f t="shared" si="14"/>
        <v>1117.2163099143522</v>
      </c>
    </row>
    <row r="12" spans="1:45">
      <c r="A12" s="41" t="s">
        <v>82</v>
      </c>
      <c r="B12" s="18">
        <v>22</v>
      </c>
      <c r="C12" s="12">
        <f>IF(B12&gt;0,VLOOKUP(B12,$F$4:$G$263,2)+D12,"")</f>
        <v>1111.67</v>
      </c>
      <c r="D12" s="42">
        <v>10</v>
      </c>
      <c r="E12" s="35" t="str">
        <f t="shared" si="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7"/>
        <v>2</v>
      </c>
      <c r="I12" s="19">
        <v>1.9</v>
      </c>
      <c r="J12" s="36">
        <f>'Flow Rate Calculations'!$B$7</f>
        <v>4.0831050228310497</v>
      </c>
      <c r="K12" s="36">
        <f t="shared" si="16"/>
        <v>1.440102709245225</v>
      </c>
      <c r="L12" s="37">
        <f>$I12*$K12/'Calculation Constants'!$B$7</f>
        <v>2421411.6350140949</v>
      </c>
      <c r="M12" s="37" t="str">
        <f t="shared" si="1"/>
        <v>Greater Dynamic Pressures</v>
      </c>
      <c r="N12" s="23">
        <f t="shared" si="17"/>
        <v>26.681711240549021</v>
      </c>
      <c r="O12" s="57">
        <f t="shared" si="2"/>
        <v>25.73783469140767</v>
      </c>
      <c r="P12" s="66">
        <f>MAX(I12*1000/'Calculation Constants'!$B$14,O12*10*I12*1000/2/('Calculation Constants'!$B$12*1000*'Calculation Constants'!$B$13))</f>
        <v>11.875</v>
      </c>
      <c r="Q12" s="68">
        <f t="shared" si="3"/>
        <v>1105894.9783427313</v>
      </c>
      <c r="R12" s="27">
        <f>(1/(2*LOG(3.7*$I12/'Calculation Constants'!$B$2*1000)))^2</f>
        <v>8.6699836115820689E-3</v>
      </c>
      <c r="S12" s="19">
        <f t="shared" si="18"/>
        <v>0.96467850809376621</v>
      </c>
      <c r="T12" s="19">
        <f>IF($H12&gt;0,'Calculation Constants'!$B$9*Hydraulics!$K12^2/2/9.81/MAX($F$4:$F$263)*$H12,"")</f>
        <v>6.098258683766869E-2</v>
      </c>
      <c r="U12" s="19">
        <f t="shared" si="19"/>
        <v>1.0256610949314349</v>
      </c>
      <c r="V12" s="19">
        <f t="shared" si="4"/>
        <v>0</v>
      </c>
      <c r="W12" s="19">
        <f t="shared" si="5"/>
        <v>26.681711240549021</v>
      </c>
      <c r="X12" s="23">
        <f t="shared" si="6"/>
        <v>1120.8127112405491</v>
      </c>
      <c r="Y12" s="22">
        <f>(1/(2*LOG(3.7*$I12/'Calculation Constants'!$B$3*1000)))^2</f>
        <v>9.7303620360708887E-3</v>
      </c>
      <c r="Z12" s="19">
        <f t="shared" si="7"/>
        <v>1.0826630767363397</v>
      </c>
      <c r="AA12" s="19">
        <f>IF($H12&gt;0,'Calculation Constants'!$B$9*Hydraulics!$K12^2/2/9.81/MAX($F$4:$F$263)*$H12,"")</f>
        <v>6.098258683766869E-2</v>
      </c>
      <c r="AB12" s="19">
        <f t="shared" si="28"/>
        <v>1.1436456635740084</v>
      </c>
      <c r="AC12" s="19">
        <f t="shared" si="8"/>
        <v>0</v>
      </c>
      <c r="AD12" s="19">
        <f t="shared" si="21"/>
        <v>25.73783469140767</v>
      </c>
      <c r="AE12" s="23">
        <f t="shared" si="9"/>
        <v>1119.8688346914078</v>
      </c>
      <c r="AF12" s="27">
        <f>(1/(2*LOG(3.7*$I12/'Calculation Constants'!$B$4*1000)))^2</f>
        <v>1.1458969193927592E-2</v>
      </c>
      <c r="AG12" s="19">
        <f t="shared" si="10"/>
        <v>1.274999100520025</v>
      </c>
      <c r="AH12" s="19">
        <f>IF($H12&gt;0,'Calculation Constants'!$B$9*Hydraulics!$K12^2/2/9.81/MAX($F$4:$F$263)*$H12,"")</f>
        <v>6.098258683766869E-2</v>
      </c>
      <c r="AI12" s="19">
        <f t="shared" si="22"/>
        <v>1.3359816873576937</v>
      </c>
      <c r="AJ12" s="19">
        <f t="shared" si="11"/>
        <v>0</v>
      </c>
      <c r="AK12" s="19">
        <f t="shared" si="23"/>
        <v>24.199146501139012</v>
      </c>
      <c r="AL12" s="23">
        <f t="shared" si="12"/>
        <v>1118.3301465011391</v>
      </c>
      <c r="AM12" s="22">
        <f>(1/(2*LOG(3.7*($I12-0.008)/'Calculation Constants'!$B$5*1000)))^2</f>
        <v>1.4542845531075887E-2</v>
      </c>
      <c r="AN12" s="19">
        <f t="shared" si="24"/>
        <v>1.6249731396833385</v>
      </c>
      <c r="AO12" s="19">
        <f>IF($H12&gt;0,'Calculation Constants'!$B$9*Hydraulics!$K12^2/2/9.81/MAX($F$4:$F$263)*$H12,"")</f>
        <v>6.098258683766869E-2</v>
      </c>
      <c r="AP12" s="19">
        <f t="shared" si="25"/>
        <v>1.6859557265210072</v>
      </c>
      <c r="AQ12" s="19">
        <f t="shared" si="13"/>
        <v>0</v>
      </c>
      <c r="AR12" s="19">
        <f t="shared" si="26"/>
        <v>21.399354187831023</v>
      </c>
      <c r="AS12" s="23">
        <f t="shared" si="14"/>
        <v>1115.5303541878311</v>
      </c>
    </row>
    <row r="13" spans="1:45">
      <c r="A13" s="41" t="s">
        <v>86</v>
      </c>
      <c r="B13" s="18">
        <v>228</v>
      </c>
      <c r="C13" s="12">
        <f>IF(B13&gt;0,VLOOKUP(B13,$F$4:$G$263,2)+D13,"")</f>
        <v>923.48400000000004</v>
      </c>
      <c r="D13" s="42">
        <v>10</v>
      </c>
      <c r="E13" s="35" t="str">
        <f t="shared" si="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7"/>
        <v>2</v>
      </c>
      <c r="I13" s="19">
        <v>1.9</v>
      </c>
      <c r="J13" s="36">
        <f>'Flow Rate Calculations'!$B$7</f>
        <v>4.0831050228310497</v>
      </c>
      <c r="K13" s="36">
        <f t="shared" si="16"/>
        <v>1.440102709245225</v>
      </c>
      <c r="L13" s="37">
        <f>$I13*$K13/'Calculation Constants'!$B$7</f>
        <v>2421411.6350140949</v>
      </c>
      <c r="M13" s="37" t="str">
        <f t="shared" si="1"/>
        <v>Greater Dynamic Pressures</v>
      </c>
      <c r="N13" s="23">
        <f t="shared" si="17"/>
        <v>21.890050145617806</v>
      </c>
      <c r="O13" s="57">
        <f t="shared" si="2"/>
        <v>20.828189027833787</v>
      </c>
      <c r="P13" s="66">
        <f>MAX(I13*1000/'Calculation Constants'!$B$14,O13*10*I13*1000/2/('Calculation Constants'!$B$12*1000*'Calculation Constants'!$B$13))</f>
        <v>11.875</v>
      </c>
      <c r="Q13" s="68">
        <f t="shared" si="3"/>
        <v>1105894.9783427313</v>
      </c>
      <c r="R13" s="27">
        <f>(1/(2*LOG(3.7*$I13/'Calculation Constants'!$B$2*1000)))^2</f>
        <v>8.6699836115820689E-3</v>
      </c>
      <c r="S13" s="19">
        <f t="shared" si="18"/>
        <v>0.96467850809376621</v>
      </c>
      <c r="T13" s="19">
        <f>IF($H13&gt;0,'Calculation Constants'!$B$9*Hydraulics!$K13^2/2/9.81/MAX($F$4:$F$263)*$H13,"")</f>
        <v>6.098258683766869E-2</v>
      </c>
      <c r="U13" s="19">
        <f t="shared" si="19"/>
        <v>1.0256610949314349</v>
      </c>
      <c r="V13" s="19">
        <f t="shared" si="4"/>
        <v>0</v>
      </c>
      <c r="W13" s="19">
        <f t="shared" si="5"/>
        <v>21.890050145617806</v>
      </c>
      <c r="X13" s="23">
        <f t="shared" si="6"/>
        <v>1119.7870501456177</v>
      </c>
      <c r="Y13" s="22">
        <f>(1/(2*LOG(3.7*$I13/'Calculation Constants'!$B$3*1000)))^2</f>
        <v>9.7303620360708887E-3</v>
      </c>
      <c r="Z13" s="19">
        <f t="shared" si="7"/>
        <v>1.0826630767363397</v>
      </c>
      <c r="AA13" s="19">
        <f>IF($H13&gt;0,'Calculation Constants'!$B$9*Hydraulics!$K13^2/2/9.81/MAX($F$4:$F$263)*$H13,"")</f>
        <v>6.098258683766869E-2</v>
      </c>
      <c r="AB13" s="19">
        <f t="shared" si="28"/>
        <v>1.1436456635740084</v>
      </c>
      <c r="AC13" s="19">
        <f t="shared" si="8"/>
        <v>0</v>
      </c>
      <c r="AD13" s="19">
        <f t="shared" si="21"/>
        <v>20.828189027833787</v>
      </c>
      <c r="AE13" s="23">
        <f t="shared" si="9"/>
        <v>1118.7251890278337</v>
      </c>
      <c r="AF13" s="27">
        <f>(1/(2*LOG(3.7*$I13/'Calculation Constants'!$B$4*1000)))^2</f>
        <v>1.1458969193927592E-2</v>
      </c>
      <c r="AG13" s="19">
        <f t="shared" si="10"/>
        <v>1.274999100520025</v>
      </c>
      <c r="AH13" s="19">
        <f>IF($H13&gt;0,'Calculation Constants'!$B$9*Hydraulics!$K13^2/2/9.81/MAX($F$4:$F$263)*$H13,"")</f>
        <v>6.098258683766869E-2</v>
      </c>
      <c r="AI13" s="19">
        <f t="shared" si="22"/>
        <v>1.3359816873576937</v>
      </c>
      <c r="AJ13" s="19">
        <f t="shared" si="11"/>
        <v>0</v>
      </c>
      <c r="AK13" s="19">
        <f t="shared" si="23"/>
        <v>19.097164813781546</v>
      </c>
      <c r="AL13" s="23">
        <f t="shared" si="12"/>
        <v>1116.9941648137815</v>
      </c>
      <c r="AM13" s="22">
        <f>(1/(2*LOG(3.7*($I13-0.008)/'Calculation Constants'!$B$5*1000)))^2</f>
        <v>1.4542845531075887E-2</v>
      </c>
      <c r="AN13" s="19">
        <f t="shared" si="24"/>
        <v>1.6249731396833385</v>
      </c>
      <c r="AO13" s="19">
        <f>IF($H13&gt;0,'Calculation Constants'!$B$9*Hydraulics!$K13^2/2/9.81/MAX($F$4:$F$263)*$H13,"")</f>
        <v>6.098258683766869E-2</v>
      </c>
      <c r="AP13" s="19">
        <f t="shared" si="25"/>
        <v>1.6859557265210072</v>
      </c>
      <c r="AQ13" s="19">
        <f t="shared" si="13"/>
        <v>0</v>
      </c>
      <c r="AR13" s="19">
        <f t="shared" si="26"/>
        <v>15.947398461310058</v>
      </c>
      <c r="AS13" s="23">
        <f t="shared" si="14"/>
        <v>1113.84439846131</v>
      </c>
    </row>
    <row r="14" spans="1:45">
      <c r="A14" s="41" t="s">
        <v>19</v>
      </c>
      <c r="B14" s="18">
        <v>520</v>
      </c>
      <c r="C14" s="12">
        <f>IF(B14&gt;0,VLOOKUP(B14,$F$4:$G$263,2)+D14,"")</f>
        <v>921.13099999999997</v>
      </c>
      <c r="D14" s="42">
        <v>10</v>
      </c>
      <c r="E14" s="35" t="str">
        <f t="shared" si="0"/>
        <v>Reservoir</v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7"/>
        <v>2</v>
      </c>
      <c r="I14" s="19">
        <v>1.9</v>
      </c>
      <c r="J14" s="36">
        <f>'Flow Rate Calculations'!$B$7</f>
        <v>4.0831050228310497</v>
      </c>
      <c r="K14" s="36">
        <f t="shared" si="16"/>
        <v>1.440102709245225</v>
      </c>
      <c r="L14" s="37">
        <f>$I14*$K14/'Calculation Constants'!$B$7</f>
        <v>2421411.6350140949</v>
      </c>
      <c r="M14" s="37">
        <f t="shared" si="1"/>
        <v>10</v>
      </c>
      <c r="N14" s="23">
        <f t="shared" si="17"/>
        <v>10</v>
      </c>
      <c r="O14" s="57">
        <f t="shared" si="2"/>
        <v>10</v>
      </c>
      <c r="P14" s="66">
        <f>MAX(I14*1000/'Calculation Constants'!$B$14,O14*10*I14*1000/2/('Calculation Constants'!$B$12*1000*'Calculation Constants'!$B$13))</f>
        <v>11.875</v>
      </c>
      <c r="Q14" s="68">
        <f t="shared" si="3"/>
        <v>1105894.9783427313</v>
      </c>
      <c r="R14" s="27">
        <f>(1/(2*LOG(3.7*$I14/'Calculation Constants'!$B$2*1000)))^2</f>
        <v>8.6699836115820689E-3</v>
      </c>
      <c r="S14" s="19">
        <f t="shared" si="18"/>
        <v>0.96467850809376621</v>
      </c>
      <c r="T14" s="19">
        <f>IF($H14&gt;0,'Calculation Constants'!$B$9*Hydraulics!$K14^2/2/9.81/MAX($F$4:$F$263)*$H14,"")</f>
        <v>6.098258683766869E-2</v>
      </c>
      <c r="U14" s="19">
        <f t="shared" si="19"/>
        <v>1.0256610949314349</v>
      </c>
      <c r="V14" s="19">
        <f t="shared" si="4"/>
        <v>0</v>
      </c>
      <c r="W14" s="19">
        <f t="shared" si="5"/>
        <v>10</v>
      </c>
      <c r="X14" s="23">
        <f t="shared" si="6"/>
        <v>1111.67</v>
      </c>
      <c r="Y14" s="22">
        <f>(1/(2*LOG(3.7*$I14/'Calculation Constants'!$B$3*1000)))^2</f>
        <v>9.7303620360708887E-3</v>
      </c>
      <c r="Z14" s="19">
        <f t="shared" si="7"/>
        <v>1.0826630767363397</v>
      </c>
      <c r="AA14" s="19">
        <f>IF($H14&gt;0,'Calculation Constants'!$B$9*Hydraulics!$K14^2/2/9.81/MAX($F$4:$F$263)*$H14,"")</f>
        <v>6.098258683766869E-2</v>
      </c>
      <c r="AB14" s="19">
        <f t="shared" si="28"/>
        <v>1.1436456635740084</v>
      </c>
      <c r="AC14" s="19">
        <f t="shared" si="8"/>
        <v>0</v>
      </c>
      <c r="AD14" s="19">
        <f t="shared" si="21"/>
        <v>10</v>
      </c>
      <c r="AE14" s="23">
        <f t="shared" si="9"/>
        <v>1111.67</v>
      </c>
      <c r="AF14" s="27">
        <f>(1/(2*LOG(3.7*$I14/'Calculation Constants'!$B$4*1000)))^2</f>
        <v>1.1458969193927592E-2</v>
      </c>
      <c r="AG14" s="19">
        <f t="shared" si="10"/>
        <v>1.274999100520025</v>
      </c>
      <c r="AH14" s="19">
        <f>IF($H14&gt;0,'Calculation Constants'!$B$9*Hydraulics!$K14^2/2/9.81/MAX($F$4:$F$263)*$H14,"")</f>
        <v>6.098258683766869E-2</v>
      </c>
      <c r="AI14" s="19">
        <f t="shared" si="22"/>
        <v>1.3359816873576937</v>
      </c>
      <c r="AJ14" s="19">
        <f t="shared" si="11"/>
        <v>0</v>
      </c>
      <c r="AK14" s="19">
        <f t="shared" si="23"/>
        <v>10</v>
      </c>
      <c r="AL14" s="23">
        <f t="shared" si="12"/>
        <v>1111.67</v>
      </c>
      <c r="AM14" s="22">
        <f>(1/(2*LOG(3.7*($I14-0.008)/'Calculation Constants'!$B$5*1000)))^2</f>
        <v>1.4542845531075887E-2</v>
      </c>
      <c r="AN14" s="19">
        <f t="shared" si="24"/>
        <v>1.6249731396833385</v>
      </c>
      <c r="AO14" s="19">
        <f>IF($H14&gt;0,'Calculation Constants'!$B$9*Hydraulics!$K14^2/2/9.81/MAX($F$4:$F$263)*$H14,"")</f>
        <v>6.098258683766869E-2</v>
      </c>
      <c r="AP14" s="19">
        <f t="shared" si="25"/>
        <v>1.6859557265210072</v>
      </c>
      <c r="AQ14" s="19">
        <f t="shared" si="13"/>
        <v>0</v>
      </c>
      <c r="AR14" s="19">
        <f t="shared" si="26"/>
        <v>10</v>
      </c>
      <c r="AS14" s="23">
        <f t="shared" si="14"/>
        <v>1111.67</v>
      </c>
    </row>
    <row r="15" spans="1:45" ht="15.75" thickBot="1">
      <c r="A15" s="43"/>
      <c r="B15" s="44"/>
      <c r="C15" s="45" t="str">
        <f>IF(B15&gt;0,VLOOKUP(B15,$F$4:$G$263,2)+D15,"")</f>
        <v/>
      </c>
      <c r="D15" s="46"/>
      <c r="E15" s="35" t="str">
        <f t="shared" si="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7"/>
        <v>2</v>
      </c>
      <c r="I15" s="19">
        <v>1.9</v>
      </c>
      <c r="J15" s="36">
        <f>'Flow Rate Calculations'!$B$7</f>
        <v>4.0831050228310497</v>
      </c>
      <c r="K15" s="36">
        <f t="shared" si="16"/>
        <v>1.440102709245225</v>
      </c>
      <c r="L15" s="37">
        <f>$I15*$K15/'Calculation Constants'!$B$7</f>
        <v>2421411.6350140949</v>
      </c>
      <c r="M15" s="37">
        <f t="shared" si="1"/>
        <v>15.718000000000075</v>
      </c>
      <c r="N15" s="23">
        <f t="shared" si="17"/>
        <v>14.692338905068709</v>
      </c>
      <c r="O15" s="57">
        <f t="shared" si="2"/>
        <v>15.718000000000075</v>
      </c>
      <c r="P15" s="66">
        <f>MAX(I15*1000/'Calculation Constants'!$B$14,O15*10*I15*1000/2/('Calculation Constants'!$B$12*1000*'Calculation Constants'!$B$13))</f>
        <v>11.875</v>
      </c>
      <c r="Q15" s="68">
        <f t="shared" si="3"/>
        <v>1105894.9783427313</v>
      </c>
      <c r="R15" s="27">
        <f>(1/(2*LOG(3.7*$I15/'Calculation Constants'!$B$2*1000)))^2</f>
        <v>8.6699836115820689E-3</v>
      </c>
      <c r="S15" s="19">
        <f t="shared" si="18"/>
        <v>0.96467850809376621</v>
      </c>
      <c r="T15" s="19">
        <f>IF($H15&gt;0,'Calculation Constants'!$B$9*Hydraulics!$K15^2/2/9.81/MAX($F$4:$F$263)*$H15,"")</f>
        <v>6.098258683766869E-2</v>
      </c>
      <c r="U15" s="19">
        <f t="shared" si="19"/>
        <v>1.0256610949314349</v>
      </c>
      <c r="V15" s="19">
        <f t="shared" si="4"/>
        <v>0</v>
      </c>
      <c r="W15" s="19">
        <f t="shared" si="5"/>
        <v>14.692338905068709</v>
      </c>
      <c r="X15" s="23">
        <f t="shared" si="6"/>
        <v>1110.6443389050687</v>
      </c>
      <c r="Y15" s="22">
        <f>(1/(2*LOG(3.7*$I15/'Calculation Constants'!$B$3*1000)))^2</f>
        <v>9.7303620360708887E-3</v>
      </c>
      <c r="Z15" s="19">
        <f t="shared" si="7"/>
        <v>1.0826630767363397</v>
      </c>
      <c r="AA15" s="19">
        <f>IF($H15&gt;0,'Calculation Constants'!$B$9*Hydraulics!$K15^2/2/9.81/MAX($F$4:$F$263)*$H15,"")</f>
        <v>6.098258683766869E-2</v>
      </c>
      <c r="AB15" s="19">
        <f t="shared" si="28"/>
        <v>1.1436456635740084</v>
      </c>
      <c r="AC15" s="19">
        <f t="shared" si="8"/>
        <v>0</v>
      </c>
      <c r="AD15" s="19">
        <f t="shared" si="21"/>
        <v>14.57435433642604</v>
      </c>
      <c r="AE15" s="23">
        <f t="shared" si="9"/>
        <v>1110.526354336426</v>
      </c>
      <c r="AF15" s="27">
        <f>(1/(2*LOG(3.7*$I15/'Calculation Constants'!$B$4*1000)))^2</f>
        <v>1.1458969193927592E-2</v>
      </c>
      <c r="AG15" s="19">
        <f t="shared" si="10"/>
        <v>1.274999100520025</v>
      </c>
      <c r="AH15" s="19">
        <f>IF($H15&gt;0,'Calculation Constants'!$B$9*Hydraulics!$K15^2/2/9.81/MAX($F$4:$F$263)*$H15,"")</f>
        <v>6.098258683766869E-2</v>
      </c>
      <c r="AI15" s="19">
        <f t="shared" si="22"/>
        <v>1.3359816873576937</v>
      </c>
      <c r="AJ15" s="19">
        <f t="shared" si="11"/>
        <v>0</v>
      </c>
      <c r="AK15" s="19">
        <f t="shared" si="23"/>
        <v>14.382018312642458</v>
      </c>
      <c r="AL15" s="23">
        <f t="shared" si="12"/>
        <v>1110.3340183126425</v>
      </c>
      <c r="AM15" s="22">
        <f>(1/(2*LOG(3.7*($I15-0.008)/'Calculation Constants'!$B$5*1000)))^2</f>
        <v>1.4542845531075887E-2</v>
      </c>
      <c r="AN15" s="19">
        <f t="shared" si="24"/>
        <v>1.6249731396833385</v>
      </c>
      <c r="AO15" s="19">
        <f>IF($H15&gt;0,'Calculation Constants'!$B$9*Hydraulics!$K15^2/2/9.81/MAX($F$4:$F$263)*$H15,"")</f>
        <v>6.098258683766869E-2</v>
      </c>
      <c r="AP15" s="19">
        <f t="shared" si="25"/>
        <v>1.6859557265210072</v>
      </c>
      <c r="AQ15" s="19">
        <f t="shared" si="13"/>
        <v>0</v>
      </c>
      <c r="AR15" s="19">
        <f t="shared" si="26"/>
        <v>14.032044273478959</v>
      </c>
      <c r="AS15" s="23">
        <f t="shared" si="14"/>
        <v>1109.984044273479</v>
      </c>
    </row>
    <row r="16" spans="1:45">
      <c r="E16" s="35" t="str">
        <f t="shared" si="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7"/>
        <v>2</v>
      </c>
      <c r="I16" s="19">
        <v>1.9</v>
      </c>
      <c r="J16" s="36">
        <f>'Flow Rate Calculations'!$B$7</f>
        <v>4.0831050228310497</v>
      </c>
      <c r="K16" s="36">
        <f t="shared" si="16"/>
        <v>1.440102709245225</v>
      </c>
      <c r="L16" s="37">
        <f>$I16*$K16/'Calculation Constants'!$B$7</f>
        <v>2421411.6350140949</v>
      </c>
      <c r="M16" s="37">
        <f t="shared" si="1"/>
        <v>21.563000000000102</v>
      </c>
      <c r="N16" s="23">
        <f t="shared" si="17"/>
        <v>19.511677810137371</v>
      </c>
      <c r="O16" s="57">
        <f t="shared" si="2"/>
        <v>21.563000000000102</v>
      </c>
      <c r="P16" s="66">
        <f>MAX(I16*1000/'Calculation Constants'!$B$14,O16*10*I16*1000/2/('Calculation Constants'!$B$12*1000*'Calculation Constants'!$B$13))</f>
        <v>11.875</v>
      </c>
      <c r="Q16" s="68">
        <f t="shared" si="3"/>
        <v>1105894.9783427313</v>
      </c>
      <c r="R16" s="27">
        <f>(1/(2*LOG(3.7*$I16/'Calculation Constants'!$B$2*1000)))^2</f>
        <v>8.6699836115820689E-3</v>
      </c>
      <c r="S16" s="19">
        <f t="shared" si="18"/>
        <v>0.96467850809376621</v>
      </c>
      <c r="T16" s="19">
        <f>IF($H16&gt;0,'Calculation Constants'!$B$9*Hydraulics!$K16^2/2/9.81/MAX($F$4:$F$263)*$H16,"")</f>
        <v>6.098258683766869E-2</v>
      </c>
      <c r="U16" s="19">
        <f t="shared" si="19"/>
        <v>1.0256610949314349</v>
      </c>
      <c r="V16" s="19">
        <f t="shared" si="4"/>
        <v>0</v>
      </c>
      <c r="W16" s="19">
        <f t="shared" si="5"/>
        <v>19.511677810137371</v>
      </c>
      <c r="X16" s="23">
        <f t="shared" si="6"/>
        <v>1109.6186778101373</v>
      </c>
      <c r="Y16" s="22">
        <f>(1/(2*LOG(3.7*$I16/'Calculation Constants'!$B$3*1000)))^2</f>
        <v>9.7303620360708887E-3</v>
      </c>
      <c r="Z16" s="19">
        <f t="shared" si="7"/>
        <v>1.0826630767363397</v>
      </c>
      <c r="AA16" s="19">
        <f>IF($H16&gt;0,'Calculation Constants'!$B$9*Hydraulics!$K16^2/2/9.81/MAX($F$4:$F$263)*$H16,"")</f>
        <v>6.098258683766869E-2</v>
      </c>
      <c r="AB16" s="19">
        <f t="shared" si="28"/>
        <v>1.1436456635740084</v>
      </c>
      <c r="AC16" s="19">
        <f t="shared" si="8"/>
        <v>0</v>
      </c>
      <c r="AD16" s="19">
        <f t="shared" si="21"/>
        <v>19.275708672852033</v>
      </c>
      <c r="AE16" s="23">
        <f t="shared" si="9"/>
        <v>1109.382708672852</v>
      </c>
      <c r="AF16" s="27">
        <f>(1/(2*LOG(3.7*$I16/'Calculation Constants'!$B$4*1000)))^2</f>
        <v>1.1458969193927592E-2</v>
      </c>
      <c r="AG16" s="19">
        <f t="shared" si="10"/>
        <v>1.274999100520025</v>
      </c>
      <c r="AH16" s="19">
        <f>IF($H16&gt;0,'Calculation Constants'!$B$9*Hydraulics!$K16^2/2/9.81/MAX($F$4:$F$263)*$H16,"")</f>
        <v>6.098258683766869E-2</v>
      </c>
      <c r="AI16" s="19">
        <f t="shared" si="22"/>
        <v>1.3359816873576937</v>
      </c>
      <c r="AJ16" s="19">
        <f t="shared" si="11"/>
        <v>0</v>
      </c>
      <c r="AK16" s="19">
        <f t="shared" si="23"/>
        <v>18.891036625284869</v>
      </c>
      <c r="AL16" s="23">
        <f t="shared" si="12"/>
        <v>1108.9980366252848</v>
      </c>
      <c r="AM16" s="22">
        <f>(1/(2*LOG(3.7*($I16-0.008)/'Calculation Constants'!$B$5*1000)))^2</f>
        <v>1.4542845531075887E-2</v>
      </c>
      <c r="AN16" s="19">
        <f t="shared" si="24"/>
        <v>1.6249731396833385</v>
      </c>
      <c r="AO16" s="19">
        <f>IF($H16&gt;0,'Calculation Constants'!$B$9*Hydraulics!$K16^2/2/9.81/MAX($F$4:$F$263)*$H16,"")</f>
        <v>6.098258683766869E-2</v>
      </c>
      <c r="AP16" s="19">
        <f t="shared" si="25"/>
        <v>1.6859557265210072</v>
      </c>
      <c r="AQ16" s="19">
        <f t="shared" si="13"/>
        <v>0</v>
      </c>
      <c r="AR16" s="19">
        <f t="shared" si="26"/>
        <v>18.191088546957872</v>
      </c>
      <c r="AS16" s="23">
        <f t="shared" si="14"/>
        <v>1108.2980885469578</v>
      </c>
    </row>
    <row r="17" spans="1:45">
      <c r="A17" s="52"/>
      <c r="C17" s="11">
        <f>C12-C13</f>
        <v>188.18600000000004</v>
      </c>
      <c r="E17" s="35" t="str">
        <f t="shared" si="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7"/>
        <v>2</v>
      </c>
      <c r="I17" s="19">
        <v>1.9</v>
      </c>
      <c r="J17" s="36">
        <f>'Flow Rate Calculations'!$B$7</f>
        <v>4.0831050228310497</v>
      </c>
      <c r="K17" s="36">
        <f t="shared" si="16"/>
        <v>1.440102709245225</v>
      </c>
      <c r="L17" s="37">
        <f>$I17*$K17/'Calculation Constants'!$B$7</f>
        <v>2421411.6350140949</v>
      </c>
      <c r="M17" s="37">
        <f t="shared" si="1"/>
        <v>25.889000000000124</v>
      </c>
      <c r="N17" s="23">
        <f t="shared" si="17"/>
        <v>22.812016715206028</v>
      </c>
      <c r="O17" s="57">
        <f t="shared" si="2"/>
        <v>25.889000000000124</v>
      </c>
      <c r="P17" s="66">
        <f>MAX(I17*1000/'Calculation Constants'!$B$14,O17*10*I17*1000/2/('Calculation Constants'!$B$12*1000*'Calculation Constants'!$B$13))</f>
        <v>11.875</v>
      </c>
      <c r="Q17" s="68">
        <f t="shared" si="3"/>
        <v>1105894.9783427313</v>
      </c>
      <c r="R17" s="27">
        <f>(1/(2*LOG(3.7*$I17/'Calculation Constants'!$B$2*1000)))^2</f>
        <v>8.6699836115820689E-3</v>
      </c>
      <c r="S17" s="19">
        <f t="shared" si="18"/>
        <v>0.96467850809376621</v>
      </c>
      <c r="T17" s="19">
        <f>IF($H17&gt;0,'Calculation Constants'!$B$9*Hydraulics!$K17^2/2/9.81/MAX($F$4:$F$263)*$H17,"")</f>
        <v>6.098258683766869E-2</v>
      </c>
      <c r="U17" s="19">
        <f t="shared" si="19"/>
        <v>1.0256610949314349</v>
      </c>
      <c r="V17" s="19">
        <f t="shared" si="4"/>
        <v>0</v>
      </c>
      <c r="W17" s="19">
        <f t="shared" si="5"/>
        <v>22.812016715206028</v>
      </c>
      <c r="X17" s="23">
        <f t="shared" si="6"/>
        <v>1108.593016715206</v>
      </c>
      <c r="Y17" s="22">
        <f>(1/(2*LOG(3.7*$I17/'Calculation Constants'!$B$3*1000)))^2</f>
        <v>9.7303620360708887E-3</v>
      </c>
      <c r="Z17" s="19">
        <f t="shared" si="7"/>
        <v>1.0826630767363397</v>
      </c>
      <c r="AA17" s="19">
        <f>IF($H17&gt;0,'Calculation Constants'!$B$9*Hydraulics!$K17^2/2/9.81/MAX($F$4:$F$263)*$H17,"")</f>
        <v>6.098258683766869E-2</v>
      </c>
      <c r="AB17" s="19">
        <f t="shared" si="28"/>
        <v>1.1436456635740084</v>
      </c>
      <c r="AC17" s="19">
        <f t="shared" si="8"/>
        <v>0</v>
      </c>
      <c r="AD17" s="19">
        <f t="shared" si="21"/>
        <v>22.458063009278021</v>
      </c>
      <c r="AE17" s="23">
        <f t="shared" si="9"/>
        <v>1108.239063009278</v>
      </c>
      <c r="AF17" s="27">
        <f>(1/(2*LOG(3.7*$I17/'Calculation Constants'!$B$4*1000)))^2</f>
        <v>1.1458969193927592E-2</v>
      </c>
      <c r="AG17" s="19">
        <f t="shared" si="10"/>
        <v>1.274999100520025</v>
      </c>
      <c r="AH17" s="19">
        <f>IF($H17&gt;0,'Calculation Constants'!$B$9*Hydraulics!$K17^2/2/9.81/MAX($F$4:$F$263)*$H17,"")</f>
        <v>6.098258683766869E-2</v>
      </c>
      <c r="AI17" s="19">
        <f t="shared" si="22"/>
        <v>1.3359816873576937</v>
      </c>
      <c r="AJ17" s="19">
        <f t="shared" si="11"/>
        <v>0</v>
      </c>
      <c r="AK17" s="19">
        <f t="shared" si="23"/>
        <v>21.881054937927274</v>
      </c>
      <c r="AL17" s="23">
        <f t="shared" si="12"/>
        <v>1107.6620549379272</v>
      </c>
      <c r="AM17" s="22">
        <f>(1/(2*LOG(3.7*($I17-0.008)/'Calculation Constants'!$B$5*1000)))^2</f>
        <v>1.4542845531075887E-2</v>
      </c>
      <c r="AN17" s="19">
        <f t="shared" si="24"/>
        <v>1.6249731396833385</v>
      </c>
      <c r="AO17" s="19">
        <f>IF($H17&gt;0,'Calculation Constants'!$B$9*Hydraulics!$K17^2/2/9.81/MAX($F$4:$F$263)*$H17,"")</f>
        <v>6.098258683766869E-2</v>
      </c>
      <c r="AP17" s="19">
        <f t="shared" si="25"/>
        <v>1.6859557265210072</v>
      </c>
      <c r="AQ17" s="19">
        <f t="shared" si="13"/>
        <v>0</v>
      </c>
      <c r="AR17" s="19">
        <f t="shared" si="26"/>
        <v>20.831132820436778</v>
      </c>
      <c r="AS17" s="23">
        <f t="shared" si="14"/>
        <v>1106.6121328204367</v>
      </c>
    </row>
    <row r="18" spans="1:45">
      <c r="E18" s="35" t="str">
        <f t="shared" si="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7"/>
        <v>2</v>
      </c>
      <c r="I18" s="19">
        <v>1.9</v>
      </c>
      <c r="J18" s="36">
        <f>'Flow Rate Calculations'!$B$7</f>
        <v>4.0831050228310497</v>
      </c>
      <c r="K18" s="36">
        <f t="shared" si="16"/>
        <v>1.440102709245225</v>
      </c>
      <c r="L18" s="37">
        <f>$I18*$K18/'Calculation Constants'!$B$7</f>
        <v>2421411.6350140949</v>
      </c>
      <c r="M18" s="37">
        <f t="shared" si="1"/>
        <v>29.779999999999973</v>
      </c>
      <c r="N18" s="23">
        <f t="shared" si="17"/>
        <v>25.677355620274511</v>
      </c>
      <c r="O18" s="57">
        <f t="shared" si="2"/>
        <v>29.779999999999973</v>
      </c>
      <c r="P18" s="66">
        <f>MAX(I18*1000/'Calculation Constants'!$B$14,O18*10*I18*1000/2/('Calculation Constants'!$B$12*1000*'Calculation Constants'!$B$13))</f>
        <v>11.875</v>
      </c>
      <c r="Q18" s="68">
        <f t="shared" si="3"/>
        <v>1105894.9783427313</v>
      </c>
      <c r="R18" s="27">
        <f>(1/(2*LOG(3.7*$I18/'Calculation Constants'!$B$2*1000)))^2</f>
        <v>8.6699836115820689E-3</v>
      </c>
      <c r="S18" s="19">
        <f t="shared" si="18"/>
        <v>0.96467850809376621</v>
      </c>
      <c r="T18" s="19">
        <f>IF($H18&gt;0,'Calculation Constants'!$B$9*Hydraulics!$K18^2/2/9.81/MAX($F$4:$F$263)*$H18,"")</f>
        <v>6.098258683766869E-2</v>
      </c>
      <c r="U18" s="19">
        <f t="shared" si="19"/>
        <v>1.0256610949314349</v>
      </c>
      <c r="V18" s="19">
        <f t="shared" si="4"/>
        <v>0</v>
      </c>
      <c r="W18" s="19">
        <f t="shared" si="5"/>
        <v>25.677355620274511</v>
      </c>
      <c r="X18" s="23">
        <f t="shared" si="6"/>
        <v>1107.5673556202746</v>
      </c>
      <c r="Y18" s="22">
        <f>(1/(2*LOG(3.7*$I18/'Calculation Constants'!$B$3*1000)))^2</f>
        <v>9.7303620360708887E-3</v>
      </c>
      <c r="Z18" s="19">
        <f t="shared" si="7"/>
        <v>1.0826630767363397</v>
      </c>
      <c r="AA18" s="19">
        <f>IF($H18&gt;0,'Calculation Constants'!$B$9*Hydraulics!$K18^2/2/9.81/MAX($F$4:$F$263)*$H18,"")</f>
        <v>6.098258683766869E-2</v>
      </c>
      <c r="AB18" s="19">
        <f t="shared" si="28"/>
        <v>1.1436456635740084</v>
      </c>
      <c r="AC18" s="19">
        <f t="shared" si="8"/>
        <v>0</v>
      </c>
      <c r="AD18" s="19">
        <f t="shared" si="21"/>
        <v>25.205417345703836</v>
      </c>
      <c r="AE18" s="23">
        <f t="shared" si="9"/>
        <v>1107.0954173457039</v>
      </c>
      <c r="AF18" s="27">
        <f>(1/(2*LOG(3.7*$I18/'Calculation Constants'!$B$4*1000)))^2</f>
        <v>1.1458969193927592E-2</v>
      </c>
      <c r="AG18" s="19">
        <f t="shared" si="10"/>
        <v>1.274999100520025</v>
      </c>
      <c r="AH18" s="19">
        <f>IF($H18&gt;0,'Calculation Constants'!$B$9*Hydraulics!$K18^2/2/9.81/MAX($F$4:$F$263)*$H18,"")</f>
        <v>6.098258683766869E-2</v>
      </c>
      <c r="AI18" s="19">
        <f t="shared" si="22"/>
        <v>1.3359816873576937</v>
      </c>
      <c r="AJ18" s="19">
        <f t="shared" si="11"/>
        <v>0</v>
      </c>
      <c r="AK18" s="19">
        <f t="shared" si="23"/>
        <v>24.436073250569507</v>
      </c>
      <c r="AL18" s="23">
        <f t="shared" si="12"/>
        <v>1106.3260732505696</v>
      </c>
      <c r="AM18" s="22">
        <f>(1/(2*LOG(3.7*($I18-0.008)/'Calculation Constants'!$B$5*1000)))^2</f>
        <v>1.4542845531075887E-2</v>
      </c>
      <c r="AN18" s="19">
        <f t="shared" si="24"/>
        <v>1.6249731396833385</v>
      </c>
      <c r="AO18" s="19">
        <f>IF($H18&gt;0,'Calculation Constants'!$B$9*Hydraulics!$K18^2/2/9.81/MAX($F$4:$F$263)*$H18,"")</f>
        <v>6.098258683766869E-2</v>
      </c>
      <c r="AP18" s="19">
        <f t="shared" si="25"/>
        <v>1.6859557265210072</v>
      </c>
      <c r="AQ18" s="19">
        <f t="shared" si="13"/>
        <v>0</v>
      </c>
      <c r="AR18" s="19">
        <f t="shared" si="26"/>
        <v>23.036177093915512</v>
      </c>
      <c r="AS18" s="23">
        <f t="shared" si="14"/>
        <v>1104.9261770939156</v>
      </c>
    </row>
    <row r="19" spans="1:45">
      <c r="E19" s="35" t="str">
        <f t="shared" si="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7"/>
        <v>2</v>
      </c>
      <c r="I19" s="19">
        <v>1.9</v>
      </c>
      <c r="J19" s="36">
        <f>'Flow Rate Calculations'!$B$7</f>
        <v>4.0831050228310497</v>
      </c>
      <c r="K19" s="36">
        <f t="shared" si="16"/>
        <v>1.440102709245225</v>
      </c>
      <c r="L19" s="37">
        <f>$I19*$K19/'Calculation Constants'!$B$7</f>
        <v>2421411.6350140949</v>
      </c>
      <c r="M19" s="37">
        <f t="shared" si="1"/>
        <v>33.733000000000175</v>
      </c>
      <c r="N19" s="23">
        <f t="shared" si="17"/>
        <v>28.604694525343348</v>
      </c>
      <c r="O19" s="57">
        <f t="shared" si="2"/>
        <v>33.733000000000175</v>
      </c>
      <c r="P19" s="66">
        <f>MAX(I19*1000/'Calculation Constants'!$B$14,O19*10*I19*1000/2/('Calculation Constants'!$B$12*1000*'Calculation Constants'!$B$13))</f>
        <v>11.875</v>
      </c>
      <c r="Q19" s="68">
        <f t="shared" si="3"/>
        <v>1105894.9783427313</v>
      </c>
      <c r="R19" s="27">
        <f>(1/(2*LOG(3.7*$I19/'Calculation Constants'!$B$2*1000)))^2</f>
        <v>8.6699836115820689E-3</v>
      </c>
      <c r="S19" s="19">
        <f t="shared" si="18"/>
        <v>0.96467850809376621</v>
      </c>
      <c r="T19" s="19">
        <f>IF($H19&gt;0,'Calculation Constants'!$B$9*Hydraulics!$K19^2/2/9.81/MAX($F$4:$F$263)*$H19,"")</f>
        <v>6.098258683766869E-2</v>
      </c>
      <c r="U19" s="19">
        <f t="shared" si="19"/>
        <v>1.0256610949314349</v>
      </c>
      <c r="V19" s="19">
        <f t="shared" si="4"/>
        <v>0</v>
      </c>
      <c r="W19" s="19">
        <f t="shared" si="5"/>
        <v>28.604694525343348</v>
      </c>
      <c r="X19" s="23">
        <f t="shared" si="6"/>
        <v>1106.5416945253432</v>
      </c>
      <c r="Y19" s="22">
        <f>(1/(2*LOG(3.7*$I19/'Calculation Constants'!$B$3*1000)))^2</f>
        <v>9.7303620360708887E-3</v>
      </c>
      <c r="Z19" s="19">
        <f t="shared" si="7"/>
        <v>1.0826630767363397</v>
      </c>
      <c r="AA19" s="19">
        <f>IF($H19&gt;0,'Calculation Constants'!$B$9*Hydraulics!$K19^2/2/9.81/MAX($F$4:$F$263)*$H19,"")</f>
        <v>6.098258683766869E-2</v>
      </c>
      <c r="AB19" s="19">
        <f t="shared" si="28"/>
        <v>1.1436456635740084</v>
      </c>
      <c r="AC19" s="19">
        <f t="shared" si="8"/>
        <v>0</v>
      </c>
      <c r="AD19" s="19">
        <f t="shared" si="21"/>
        <v>28.014771682130004</v>
      </c>
      <c r="AE19" s="23">
        <f t="shared" si="9"/>
        <v>1105.9517716821299</v>
      </c>
      <c r="AF19" s="27">
        <f>(1/(2*LOG(3.7*$I19/'Calculation Constants'!$B$4*1000)))^2</f>
        <v>1.1458969193927592E-2</v>
      </c>
      <c r="AG19" s="19">
        <f t="shared" si="10"/>
        <v>1.274999100520025</v>
      </c>
      <c r="AH19" s="19">
        <f>IF($H19&gt;0,'Calculation Constants'!$B$9*Hydraulics!$K19^2/2/9.81/MAX($F$4:$F$263)*$H19,"")</f>
        <v>6.098258683766869E-2</v>
      </c>
      <c r="AI19" s="19">
        <f t="shared" si="22"/>
        <v>1.3359816873576937</v>
      </c>
      <c r="AJ19" s="19">
        <f t="shared" si="11"/>
        <v>0</v>
      </c>
      <c r="AK19" s="19">
        <f t="shared" si="23"/>
        <v>27.053091563212092</v>
      </c>
      <c r="AL19" s="23">
        <f t="shared" si="12"/>
        <v>1104.990091563212</v>
      </c>
      <c r="AM19" s="22">
        <f>(1/(2*LOG(3.7*($I19-0.008)/'Calculation Constants'!$B$5*1000)))^2</f>
        <v>1.4542845531075887E-2</v>
      </c>
      <c r="AN19" s="19">
        <f t="shared" si="24"/>
        <v>1.6249731396833385</v>
      </c>
      <c r="AO19" s="19">
        <f>IF($H19&gt;0,'Calculation Constants'!$B$9*Hydraulics!$K19^2/2/9.81/MAX($F$4:$F$263)*$H19,"")</f>
        <v>6.098258683766869E-2</v>
      </c>
      <c r="AP19" s="19">
        <f t="shared" si="25"/>
        <v>1.6859557265210072</v>
      </c>
      <c r="AQ19" s="19">
        <f t="shared" si="13"/>
        <v>0</v>
      </c>
      <c r="AR19" s="19">
        <f t="shared" si="26"/>
        <v>25.303221367394599</v>
      </c>
      <c r="AS19" s="23">
        <f t="shared" si="14"/>
        <v>1103.2402213673945</v>
      </c>
    </row>
    <row r="20" spans="1:45">
      <c r="E20" s="35" t="str">
        <f t="shared" si="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7"/>
        <v>2</v>
      </c>
      <c r="I20" s="19">
        <v>1.9</v>
      </c>
      <c r="J20" s="36">
        <f>'Flow Rate Calculations'!$B$7</f>
        <v>4.0831050228310497</v>
      </c>
      <c r="K20" s="36">
        <f t="shared" si="16"/>
        <v>1.440102709245225</v>
      </c>
      <c r="L20" s="37">
        <f>$I20*$K20/'Calculation Constants'!$B$7</f>
        <v>2421411.6350140949</v>
      </c>
      <c r="M20" s="37">
        <f t="shared" si="1"/>
        <v>36.779999999999973</v>
      </c>
      <c r="N20" s="23">
        <f t="shared" si="17"/>
        <v>30.626033430411781</v>
      </c>
      <c r="O20" s="57">
        <f t="shared" si="2"/>
        <v>36.779999999999973</v>
      </c>
      <c r="P20" s="66">
        <f>MAX(I20*1000/'Calculation Constants'!$B$14,O20*10*I20*1000/2/('Calculation Constants'!$B$12*1000*'Calculation Constants'!$B$13))</f>
        <v>11.875</v>
      </c>
      <c r="Q20" s="68">
        <f t="shared" si="3"/>
        <v>1105894.9783427313</v>
      </c>
      <c r="R20" s="27">
        <f>(1/(2*LOG(3.7*$I20/'Calculation Constants'!$B$2*1000)))^2</f>
        <v>8.6699836115820689E-3</v>
      </c>
      <c r="S20" s="19">
        <f t="shared" si="18"/>
        <v>0.96467850809376621</v>
      </c>
      <c r="T20" s="19">
        <f>IF($H20&gt;0,'Calculation Constants'!$B$9*Hydraulics!$K20^2/2/9.81/MAX($F$4:$F$263)*$H20,"")</f>
        <v>6.098258683766869E-2</v>
      </c>
      <c r="U20" s="19">
        <f t="shared" si="19"/>
        <v>1.0256610949314349</v>
      </c>
      <c r="V20" s="19">
        <f t="shared" si="4"/>
        <v>0</v>
      </c>
      <c r="W20" s="19">
        <f t="shared" si="5"/>
        <v>30.626033430411781</v>
      </c>
      <c r="X20" s="23">
        <f t="shared" si="6"/>
        <v>1105.5160334304119</v>
      </c>
      <c r="Y20" s="22">
        <f>(1/(2*LOG(3.7*$I20/'Calculation Constants'!$B$3*1000)))^2</f>
        <v>9.7303620360708887E-3</v>
      </c>
      <c r="Z20" s="19">
        <f t="shared" si="7"/>
        <v>1.0826630767363397</v>
      </c>
      <c r="AA20" s="19">
        <f>IF($H20&gt;0,'Calculation Constants'!$B$9*Hydraulics!$K20^2/2/9.81/MAX($F$4:$F$263)*$H20,"")</f>
        <v>6.098258683766869E-2</v>
      </c>
      <c r="AB20" s="19">
        <f t="shared" si="28"/>
        <v>1.1436456635740084</v>
      </c>
      <c r="AC20" s="19">
        <f t="shared" si="8"/>
        <v>0</v>
      </c>
      <c r="AD20" s="19">
        <f t="shared" si="21"/>
        <v>29.918126018555768</v>
      </c>
      <c r="AE20" s="23">
        <f t="shared" si="9"/>
        <v>1104.8081260185559</v>
      </c>
      <c r="AF20" s="27">
        <f>(1/(2*LOG(3.7*$I20/'Calculation Constants'!$B$4*1000)))^2</f>
        <v>1.1458969193927592E-2</v>
      </c>
      <c r="AG20" s="19">
        <f t="shared" si="10"/>
        <v>1.274999100520025</v>
      </c>
      <c r="AH20" s="19">
        <f>IF($H20&gt;0,'Calculation Constants'!$B$9*Hydraulics!$K20^2/2/9.81/MAX($F$4:$F$263)*$H20,"")</f>
        <v>6.098258683766869E-2</v>
      </c>
      <c r="AI20" s="19">
        <f t="shared" si="22"/>
        <v>1.3359816873576937</v>
      </c>
      <c r="AJ20" s="19">
        <f t="shared" si="11"/>
        <v>0</v>
      </c>
      <c r="AK20" s="19">
        <f t="shared" si="23"/>
        <v>28.764109875854274</v>
      </c>
      <c r="AL20" s="23">
        <f t="shared" si="12"/>
        <v>1103.6541098758544</v>
      </c>
      <c r="AM20" s="22">
        <f>(1/(2*LOG(3.7*($I20-0.008)/'Calculation Constants'!$B$5*1000)))^2</f>
        <v>1.4542845531075887E-2</v>
      </c>
      <c r="AN20" s="19">
        <f t="shared" si="24"/>
        <v>1.6249731396833385</v>
      </c>
      <c r="AO20" s="19">
        <f>IF($H20&gt;0,'Calculation Constants'!$B$9*Hydraulics!$K20^2/2/9.81/MAX($F$4:$F$263)*$H20,"")</f>
        <v>6.098258683766869E-2</v>
      </c>
      <c r="AP20" s="19">
        <f t="shared" si="25"/>
        <v>1.6859557265210072</v>
      </c>
      <c r="AQ20" s="19">
        <f t="shared" si="13"/>
        <v>0</v>
      </c>
      <c r="AR20" s="19">
        <f t="shared" si="26"/>
        <v>26.664265640873282</v>
      </c>
      <c r="AS20" s="23">
        <f t="shared" si="14"/>
        <v>1101.5542656408734</v>
      </c>
    </row>
    <row r="21" spans="1:45" ht="15.75" thickBot="1">
      <c r="E21" s="35" t="str">
        <f t="shared" si="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7"/>
        <v>2</v>
      </c>
      <c r="I21" s="19">
        <v>1.9</v>
      </c>
      <c r="J21" s="36">
        <f>'Flow Rate Calculations'!$B$7</f>
        <v>4.0831050228310497</v>
      </c>
      <c r="K21" s="36">
        <f t="shared" si="16"/>
        <v>1.440102709245225</v>
      </c>
      <c r="L21" s="37">
        <f>$I21*$K21/'Calculation Constants'!$B$7</f>
        <v>2421411.6350140949</v>
      </c>
      <c r="M21" s="37">
        <f t="shared" si="1"/>
        <v>40.55600000000004</v>
      </c>
      <c r="N21" s="23">
        <f t="shared" si="17"/>
        <v>33.376372335480482</v>
      </c>
      <c r="O21" s="57">
        <f t="shared" si="2"/>
        <v>40.55600000000004</v>
      </c>
      <c r="P21" s="66">
        <f>MAX(I21*1000/'Calculation Constants'!$B$14,O21*10*I21*1000/2/('Calculation Constants'!$B$12*1000*'Calculation Constants'!$B$13))</f>
        <v>11.875</v>
      </c>
      <c r="Q21" s="68">
        <f t="shared" si="3"/>
        <v>1105894.9783427313</v>
      </c>
      <c r="R21" s="27">
        <f>(1/(2*LOG(3.7*$I21/'Calculation Constants'!$B$2*1000)))^2</f>
        <v>8.6699836115820689E-3</v>
      </c>
      <c r="S21" s="19">
        <f t="shared" si="18"/>
        <v>0.96467850809376621</v>
      </c>
      <c r="T21" s="19">
        <f>IF($H21&gt;0,'Calculation Constants'!$B$9*Hydraulics!$K21^2/2/9.81/MAX($F$4:$F$263)*$H21,"")</f>
        <v>6.098258683766869E-2</v>
      </c>
      <c r="U21" s="19">
        <f t="shared" si="19"/>
        <v>1.0256610949314349</v>
      </c>
      <c r="V21" s="19">
        <f t="shared" si="4"/>
        <v>0</v>
      </c>
      <c r="W21" s="19">
        <f t="shared" si="5"/>
        <v>33.376372335480482</v>
      </c>
      <c r="X21" s="23">
        <f t="shared" si="6"/>
        <v>1104.4903723354805</v>
      </c>
      <c r="Y21" s="22">
        <f>(1/(2*LOG(3.7*$I21/'Calculation Constants'!$B$3*1000)))^2</f>
        <v>9.7303620360708887E-3</v>
      </c>
      <c r="Z21" s="19">
        <f t="shared" si="7"/>
        <v>1.0826630767363397</v>
      </c>
      <c r="AA21" s="19">
        <f>IF($H21&gt;0,'Calculation Constants'!$B$9*Hydraulics!$K21^2/2/9.81/MAX($F$4:$F$263)*$H21,"")</f>
        <v>6.098258683766869E-2</v>
      </c>
      <c r="AB21" s="19">
        <f t="shared" si="28"/>
        <v>1.1436456635740084</v>
      </c>
      <c r="AC21" s="19">
        <f t="shared" si="8"/>
        <v>0</v>
      </c>
      <c r="AD21" s="19">
        <f t="shared" si="21"/>
        <v>32.550480354981801</v>
      </c>
      <c r="AE21" s="23">
        <f t="shared" si="9"/>
        <v>1103.6644803549818</v>
      </c>
      <c r="AF21" s="27">
        <f>(1/(2*LOG(3.7*$I21/'Calculation Constants'!$B$4*1000)))^2</f>
        <v>1.1458969193927592E-2</v>
      </c>
      <c r="AG21" s="19">
        <f t="shared" si="10"/>
        <v>1.274999100520025</v>
      </c>
      <c r="AH21" s="19">
        <f>IF($H21&gt;0,'Calculation Constants'!$B$9*Hydraulics!$K21^2/2/9.81/MAX($F$4:$F$263)*$H21,"")</f>
        <v>6.098258683766869E-2</v>
      </c>
      <c r="AI21" s="19">
        <f t="shared" si="22"/>
        <v>1.3359816873576937</v>
      </c>
      <c r="AJ21" s="19">
        <f t="shared" si="11"/>
        <v>0</v>
      </c>
      <c r="AK21" s="19">
        <f t="shared" si="23"/>
        <v>31.204128188496725</v>
      </c>
      <c r="AL21" s="23">
        <f t="shared" si="12"/>
        <v>1102.3181281884968</v>
      </c>
      <c r="AM21" s="22">
        <f>(1/(2*LOG(3.7*($I21-0.008)/'Calculation Constants'!$B$5*1000)))^2</f>
        <v>1.4542845531075887E-2</v>
      </c>
      <c r="AN21" s="19">
        <f t="shared" si="24"/>
        <v>1.6249731396833385</v>
      </c>
      <c r="AO21" s="19">
        <f>IF($H21&gt;0,'Calculation Constants'!$B$9*Hydraulics!$K21^2/2/9.81/MAX($F$4:$F$263)*$H21,"")</f>
        <v>6.098258683766869E-2</v>
      </c>
      <c r="AP21" s="19">
        <f t="shared" si="25"/>
        <v>1.6859557265210072</v>
      </c>
      <c r="AQ21" s="19">
        <f t="shared" si="13"/>
        <v>0</v>
      </c>
      <c r="AR21" s="19">
        <f t="shared" si="26"/>
        <v>28.754309914352234</v>
      </c>
      <c r="AS21" s="23">
        <f t="shared" si="14"/>
        <v>1099.8683099143523</v>
      </c>
    </row>
    <row r="22" spans="1:45">
      <c r="A22" s="48" t="s">
        <v>35</v>
      </c>
      <c r="B22" s="49" t="s">
        <v>36</v>
      </c>
      <c r="E22" s="35" t="str">
        <f t="shared" si="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7"/>
        <v>2</v>
      </c>
      <c r="I22" s="19">
        <v>1.9</v>
      </c>
      <c r="J22" s="36">
        <f>'Flow Rate Calculations'!$B$7</f>
        <v>4.0831050228310497</v>
      </c>
      <c r="K22" s="36">
        <f t="shared" si="16"/>
        <v>1.440102709245225</v>
      </c>
      <c r="L22" s="37">
        <f>$I22*$K22/'Calculation Constants'!$B$7</f>
        <v>2421411.6350140949</v>
      </c>
      <c r="M22" s="37">
        <f t="shared" si="1"/>
        <v>46.359000000000151</v>
      </c>
      <c r="N22" s="23">
        <f t="shared" si="17"/>
        <v>38.153711240549228</v>
      </c>
      <c r="O22" s="57">
        <f t="shared" si="2"/>
        <v>46.359000000000151</v>
      </c>
      <c r="P22" s="66">
        <f>MAX(I22*1000/'Calculation Constants'!$B$14,O22*10*I22*1000/2/('Calculation Constants'!$B$12*1000*'Calculation Constants'!$B$13))</f>
        <v>11.875</v>
      </c>
      <c r="Q22" s="68">
        <f t="shared" si="3"/>
        <v>1105894.9783427313</v>
      </c>
      <c r="R22" s="27">
        <f>(1/(2*LOG(3.7*$I22/'Calculation Constants'!$B$2*1000)))^2</f>
        <v>8.6699836115820689E-3</v>
      </c>
      <c r="S22" s="19">
        <f t="shared" si="18"/>
        <v>0.96467850809376621</v>
      </c>
      <c r="T22" s="19">
        <f>IF($H22&gt;0,'Calculation Constants'!$B$9*Hydraulics!$K22^2/2/9.81/MAX($F$4:$F$263)*$H22,"")</f>
        <v>6.098258683766869E-2</v>
      </c>
      <c r="U22" s="19">
        <f t="shared" si="19"/>
        <v>1.0256610949314349</v>
      </c>
      <c r="V22" s="19">
        <f t="shared" si="4"/>
        <v>0</v>
      </c>
      <c r="W22" s="19">
        <f t="shared" si="5"/>
        <v>38.153711240549228</v>
      </c>
      <c r="X22" s="23">
        <f t="shared" si="6"/>
        <v>1103.4647112405491</v>
      </c>
      <c r="Y22" s="22">
        <f>(1/(2*LOG(3.7*$I22/'Calculation Constants'!$B$3*1000)))^2</f>
        <v>9.7303620360708887E-3</v>
      </c>
      <c r="Z22" s="19">
        <f t="shared" si="7"/>
        <v>1.0826630767363397</v>
      </c>
      <c r="AA22" s="19">
        <f>IF($H22&gt;0,'Calculation Constants'!$B$9*Hydraulics!$K22^2/2/9.81/MAX($F$4:$F$263)*$H22,"")</f>
        <v>6.098258683766869E-2</v>
      </c>
      <c r="AB22" s="19">
        <f t="shared" si="28"/>
        <v>1.1436456635740084</v>
      </c>
      <c r="AC22" s="19">
        <f t="shared" si="8"/>
        <v>0</v>
      </c>
      <c r="AD22" s="19">
        <f t="shared" si="21"/>
        <v>37.209834691407877</v>
      </c>
      <c r="AE22" s="23">
        <f t="shared" si="9"/>
        <v>1102.5208346914078</v>
      </c>
      <c r="AF22" s="27">
        <f>(1/(2*LOG(3.7*$I22/'Calculation Constants'!$B$4*1000)))^2</f>
        <v>1.1458969193927592E-2</v>
      </c>
      <c r="AG22" s="19">
        <f t="shared" si="10"/>
        <v>1.274999100520025</v>
      </c>
      <c r="AH22" s="19">
        <f>IF($H22&gt;0,'Calculation Constants'!$B$9*Hydraulics!$K22^2/2/9.81/MAX($F$4:$F$263)*$H22,"")</f>
        <v>6.098258683766869E-2</v>
      </c>
      <c r="AI22" s="19">
        <f t="shared" si="22"/>
        <v>1.3359816873576937</v>
      </c>
      <c r="AJ22" s="19">
        <f t="shared" si="11"/>
        <v>0</v>
      </c>
      <c r="AK22" s="19">
        <f t="shared" si="23"/>
        <v>35.671146501139219</v>
      </c>
      <c r="AL22" s="23">
        <f t="shared" si="12"/>
        <v>1100.9821465011391</v>
      </c>
      <c r="AM22" s="22">
        <f>(1/(2*LOG(3.7*($I22-0.008)/'Calculation Constants'!$B$5*1000)))^2</f>
        <v>1.4542845531075887E-2</v>
      </c>
      <c r="AN22" s="19">
        <f t="shared" si="24"/>
        <v>1.6249731396833385</v>
      </c>
      <c r="AO22" s="19">
        <f>IF($H22&gt;0,'Calculation Constants'!$B$9*Hydraulics!$K22^2/2/9.81/MAX($F$4:$F$263)*$H22,"")</f>
        <v>6.098258683766869E-2</v>
      </c>
      <c r="AP22" s="19">
        <f t="shared" si="25"/>
        <v>1.6859557265210072</v>
      </c>
      <c r="AQ22" s="19">
        <f t="shared" si="13"/>
        <v>0</v>
      </c>
      <c r="AR22" s="19">
        <f t="shared" si="26"/>
        <v>32.87135418783123</v>
      </c>
      <c r="AS22" s="23">
        <f t="shared" si="14"/>
        <v>1098.1823541878312</v>
      </c>
    </row>
    <row r="23" spans="1:45" ht="15.75" thickBot="1">
      <c r="A23" s="50" t="s">
        <v>38</v>
      </c>
      <c r="B23" s="51" t="s">
        <v>93</v>
      </c>
      <c r="E23" s="35" t="str">
        <f t="shared" si="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7"/>
        <v>2</v>
      </c>
      <c r="I23" s="19">
        <v>1.9</v>
      </c>
      <c r="J23" s="36">
        <f>'Flow Rate Calculations'!$B$7</f>
        <v>4.0831050228310497</v>
      </c>
      <c r="K23" s="36">
        <f t="shared" si="16"/>
        <v>1.440102709245225</v>
      </c>
      <c r="L23" s="37">
        <f>$I23*$K23/'Calculation Constants'!$B$7</f>
        <v>2421411.6350140949</v>
      </c>
      <c r="M23" s="37">
        <f t="shared" si="1"/>
        <v>52.619000000000142</v>
      </c>
      <c r="N23" s="23">
        <f t="shared" si="17"/>
        <v>43.388050145617854</v>
      </c>
      <c r="O23" s="57">
        <f t="shared" si="2"/>
        <v>52.619000000000142</v>
      </c>
      <c r="P23" s="66">
        <f>MAX(I23*1000/'Calculation Constants'!$B$14,O23*10*I23*1000/2/('Calculation Constants'!$B$12*1000*'Calculation Constants'!$B$13))</f>
        <v>11.875</v>
      </c>
      <c r="Q23" s="68">
        <f t="shared" si="3"/>
        <v>1105894.9783427313</v>
      </c>
      <c r="R23" s="27">
        <f>(1/(2*LOG(3.7*$I23/'Calculation Constants'!$B$2*1000)))^2</f>
        <v>8.6699836115820689E-3</v>
      </c>
      <c r="S23" s="19">
        <f t="shared" si="18"/>
        <v>0.96467850809376621</v>
      </c>
      <c r="T23" s="19">
        <f>IF($H23&gt;0,'Calculation Constants'!$B$9*Hydraulics!$K23^2/2/9.81/MAX($F$4:$F$263)*$H23,"")</f>
        <v>6.098258683766869E-2</v>
      </c>
      <c r="U23" s="19">
        <f t="shared" si="19"/>
        <v>1.0256610949314349</v>
      </c>
      <c r="V23" s="19">
        <f t="shared" si="4"/>
        <v>0</v>
      </c>
      <c r="W23" s="19">
        <f t="shared" si="5"/>
        <v>43.388050145617854</v>
      </c>
      <c r="X23" s="23">
        <f t="shared" si="6"/>
        <v>1102.4390501456178</v>
      </c>
      <c r="Y23" s="22">
        <f>(1/(2*LOG(3.7*$I23/'Calculation Constants'!$B$3*1000)))^2</f>
        <v>9.7303620360708887E-3</v>
      </c>
      <c r="Z23" s="19">
        <f t="shared" si="7"/>
        <v>1.0826630767363397</v>
      </c>
      <c r="AA23" s="19">
        <f>IF($H23&gt;0,'Calculation Constants'!$B$9*Hydraulics!$K23^2/2/9.81/MAX($F$4:$F$263)*$H23,"")</f>
        <v>6.098258683766869E-2</v>
      </c>
      <c r="AB23" s="19">
        <f t="shared" si="28"/>
        <v>1.1436456635740084</v>
      </c>
      <c r="AC23" s="19">
        <f t="shared" si="8"/>
        <v>0</v>
      </c>
      <c r="AD23" s="19">
        <f t="shared" si="21"/>
        <v>42.326189027833834</v>
      </c>
      <c r="AE23" s="23">
        <f t="shared" si="9"/>
        <v>1101.3771890278338</v>
      </c>
      <c r="AF23" s="27">
        <f>(1/(2*LOG(3.7*$I23/'Calculation Constants'!$B$4*1000)))^2</f>
        <v>1.1458969193927592E-2</v>
      </c>
      <c r="AG23" s="19">
        <f t="shared" si="10"/>
        <v>1.274999100520025</v>
      </c>
      <c r="AH23" s="19">
        <f>IF($H23&gt;0,'Calculation Constants'!$B$9*Hydraulics!$K23^2/2/9.81/MAX($F$4:$F$263)*$H23,"")</f>
        <v>6.098258683766869E-2</v>
      </c>
      <c r="AI23" s="19">
        <f t="shared" si="22"/>
        <v>1.3359816873576937</v>
      </c>
      <c r="AJ23" s="19">
        <f t="shared" si="11"/>
        <v>0</v>
      </c>
      <c r="AK23" s="19">
        <f t="shared" si="23"/>
        <v>40.595164813781594</v>
      </c>
      <c r="AL23" s="23">
        <f t="shared" si="12"/>
        <v>1099.6461648137815</v>
      </c>
      <c r="AM23" s="22">
        <f>(1/(2*LOG(3.7*($I23-0.008)/'Calculation Constants'!$B$5*1000)))^2</f>
        <v>1.4542845531075887E-2</v>
      </c>
      <c r="AN23" s="19">
        <f t="shared" si="24"/>
        <v>1.6249731396833385</v>
      </c>
      <c r="AO23" s="19">
        <f>IF($H23&gt;0,'Calculation Constants'!$B$9*Hydraulics!$K23^2/2/9.81/MAX($F$4:$F$263)*$H23,"")</f>
        <v>6.098258683766869E-2</v>
      </c>
      <c r="AP23" s="19">
        <f t="shared" si="25"/>
        <v>1.6859557265210072</v>
      </c>
      <c r="AQ23" s="19">
        <f t="shared" si="13"/>
        <v>0</v>
      </c>
      <c r="AR23" s="19">
        <f t="shared" si="26"/>
        <v>37.445398461310106</v>
      </c>
      <c r="AS23" s="23">
        <f t="shared" si="14"/>
        <v>1096.49639846131</v>
      </c>
    </row>
    <row r="24" spans="1:45">
      <c r="E24" s="35" t="str">
        <f t="shared" si="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7"/>
        <v>2</v>
      </c>
      <c r="I24" s="19">
        <v>1.9</v>
      </c>
      <c r="J24" s="36">
        <f>'Flow Rate Calculations'!$B$7</f>
        <v>4.0831050228310497</v>
      </c>
      <c r="K24" s="36">
        <f t="shared" si="16"/>
        <v>1.440102709245225</v>
      </c>
      <c r="L24" s="37">
        <f>$I24*$K24/'Calculation Constants'!$B$7</f>
        <v>2421411.6350140949</v>
      </c>
      <c r="M24" s="37">
        <f t="shared" si="1"/>
        <v>57.3900000000001</v>
      </c>
      <c r="N24" s="23">
        <f t="shared" si="17"/>
        <v>47.133389050686446</v>
      </c>
      <c r="O24" s="57">
        <f t="shared" si="2"/>
        <v>57.3900000000001</v>
      </c>
      <c r="P24" s="66">
        <f>MAX(I24*1000/'Calculation Constants'!$B$14,O24*10*I24*1000/2/('Calculation Constants'!$B$12*1000*'Calculation Constants'!$B$13))</f>
        <v>11.875</v>
      </c>
      <c r="Q24" s="68">
        <f t="shared" si="3"/>
        <v>1105894.9783427313</v>
      </c>
      <c r="R24" s="27">
        <f>(1/(2*LOG(3.7*$I24/'Calculation Constants'!$B$2*1000)))^2</f>
        <v>8.6699836115820689E-3</v>
      </c>
      <c r="S24" s="19">
        <f t="shared" si="18"/>
        <v>0.96467850809376621</v>
      </c>
      <c r="T24" s="19">
        <f>IF($H24&gt;0,'Calculation Constants'!$B$9*Hydraulics!$K24^2/2/9.81/MAX($F$4:$F$263)*$H24,"")</f>
        <v>6.098258683766869E-2</v>
      </c>
      <c r="U24" s="19">
        <f t="shared" si="19"/>
        <v>1.0256610949314349</v>
      </c>
      <c r="V24" s="19">
        <f t="shared" si="4"/>
        <v>0</v>
      </c>
      <c r="W24" s="19">
        <f t="shared" si="5"/>
        <v>47.133389050686446</v>
      </c>
      <c r="X24" s="23">
        <f t="shared" si="6"/>
        <v>1101.4133890506864</v>
      </c>
      <c r="Y24" s="22">
        <f>(1/(2*LOG(3.7*$I24/'Calculation Constants'!$B$3*1000)))^2</f>
        <v>9.7303620360708887E-3</v>
      </c>
      <c r="Z24" s="19">
        <f t="shared" si="7"/>
        <v>1.0826630767363397</v>
      </c>
      <c r="AA24" s="19">
        <f>IF($H24&gt;0,'Calculation Constants'!$B$9*Hydraulics!$K24^2/2/9.81/MAX($F$4:$F$263)*$H24,"")</f>
        <v>6.098258683766869E-2</v>
      </c>
      <c r="AB24" s="19">
        <f t="shared" si="28"/>
        <v>1.1436456635740084</v>
      </c>
      <c r="AC24" s="19">
        <f t="shared" si="8"/>
        <v>0</v>
      </c>
      <c r="AD24" s="19">
        <f t="shared" si="21"/>
        <v>45.953543364259758</v>
      </c>
      <c r="AE24" s="23">
        <f t="shared" si="9"/>
        <v>1100.2335433642597</v>
      </c>
      <c r="AF24" s="27">
        <f>(1/(2*LOG(3.7*$I24/'Calculation Constants'!$B$4*1000)))^2</f>
        <v>1.1458969193927592E-2</v>
      </c>
      <c r="AG24" s="19">
        <f t="shared" si="10"/>
        <v>1.274999100520025</v>
      </c>
      <c r="AH24" s="19">
        <f>IF($H24&gt;0,'Calculation Constants'!$B$9*Hydraulics!$K24^2/2/9.81/MAX($F$4:$F$263)*$H24,"")</f>
        <v>6.098258683766869E-2</v>
      </c>
      <c r="AI24" s="19">
        <f t="shared" si="22"/>
        <v>1.3359816873576937</v>
      </c>
      <c r="AJ24" s="19">
        <f t="shared" si="11"/>
        <v>0</v>
      </c>
      <c r="AK24" s="19">
        <f t="shared" si="23"/>
        <v>44.030183126423935</v>
      </c>
      <c r="AL24" s="23">
        <f t="shared" si="12"/>
        <v>1098.3101831264239</v>
      </c>
      <c r="AM24" s="22">
        <f>(1/(2*LOG(3.7*($I24-0.008)/'Calculation Constants'!$B$5*1000)))^2</f>
        <v>1.4542845531075887E-2</v>
      </c>
      <c r="AN24" s="19">
        <f t="shared" si="24"/>
        <v>1.6249731396833385</v>
      </c>
      <c r="AO24" s="19">
        <f>IF($H24&gt;0,'Calculation Constants'!$B$9*Hydraulics!$K24^2/2/9.81/MAX($F$4:$F$263)*$H24,"")</f>
        <v>6.098258683766869E-2</v>
      </c>
      <c r="AP24" s="19">
        <f t="shared" si="25"/>
        <v>1.6859557265210072</v>
      </c>
      <c r="AQ24" s="19">
        <f t="shared" si="13"/>
        <v>0</v>
      </c>
      <c r="AR24" s="19">
        <f t="shared" si="26"/>
        <v>40.530442734788949</v>
      </c>
      <c r="AS24" s="23">
        <f t="shared" si="14"/>
        <v>1094.8104427347889</v>
      </c>
    </row>
    <row r="25" spans="1:45">
      <c r="E25" s="35" t="str">
        <f t="shared" si="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7"/>
        <v>2</v>
      </c>
      <c r="I25" s="19">
        <v>1.9</v>
      </c>
      <c r="J25" s="36">
        <f>'Flow Rate Calculations'!$B$7</f>
        <v>4.0831050228310497</v>
      </c>
      <c r="K25" s="36">
        <f t="shared" si="16"/>
        <v>1.440102709245225</v>
      </c>
      <c r="L25" s="37">
        <f>$I25*$K25/'Calculation Constants'!$B$7</f>
        <v>2421411.6350140949</v>
      </c>
      <c r="M25" s="37">
        <f t="shared" si="1"/>
        <v>57.798999999999978</v>
      </c>
      <c r="N25" s="23">
        <f t="shared" si="17"/>
        <v>46.516727955754959</v>
      </c>
      <c r="O25" s="57">
        <f t="shared" si="2"/>
        <v>57.798999999999978</v>
      </c>
      <c r="P25" s="66">
        <f>MAX(I25*1000/'Calculation Constants'!$B$14,O25*10*I25*1000/2/('Calculation Constants'!$B$12*1000*'Calculation Constants'!$B$13))</f>
        <v>11.875</v>
      </c>
      <c r="Q25" s="68">
        <f t="shared" si="3"/>
        <v>1105894.9783427313</v>
      </c>
      <c r="R25" s="27">
        <f>(1/(2*LOG(3.7*$I25/'Calculation Constants'!$B$2*1000)))^2</f>
        <v>8.6699836115820689E-3</v>
      </c>
      <c r="S25" s="19">
        <f t="shared" si="18"/>
        <v>0.96467850809376621</v>
      </c>
      <c r="T25" s="19">
        <f>IF($H25&gt;0,'Calculation Constants'!$B$9*Hydraulics!$K25^2/2/9.81/MAX($F$4:$F$263)*$H25,"")</f>
        <v>6.098258683766869E-2</v>
      </c>
      <c r="U25" s="19">
        <f t="shared" si="19"/>
        <v>1.0256610949314349</v>
      </c>
      <c r="V25" s="19">
        <f t="shared" si="4"/>
        <v>0</v>
      </c>
      <c r="W25" s="19">
        <f t="shared" si="5"/>
        <v>46.516727955754959</v>
      </c>
      <c r="X25" s="23">
        <f t="shared" si="6"/>
        <v>1100.3877279557551</v>
      </c>
      <c r="Y25" s="22">
        <f>(1/(2*LOG(3.7*$I25/'Calculation Constants'!$B$3*1000)))^2</f>
        <v>9.7303620360708887E-3</v>
      </c>
      <c r="Z25" s="19">
        <f t="shared" si="7"/>
        <v>1.0826630767363397</v>
      </c>
      <c r="AA25" s="19">
        <f>IF($H25&gt;0,'Calculation Constants'!$B$9*Hydraulics!$K25^2/2/9.81/MAX($F$4:$F$263)*$H25,"")</f>
        <v>6.098258683766869E-2</v>
      </c>
      <c r="AB25" s="19">
        <f t="shared" si="28"/>
        <v>1.1436456635740084</v>
      </c>
      <c r="AC25" s="19">
        <f t="shared" si="8"/>
        <v>0</v>
      </c>
      <c r="AD25" s="19">
        <f t="shared" si="21"/>
        <v>45.218897700685602</v>
      </c>
      <c r="AE25" s="23">
        <f t="shared" si="9"/>
        <v>1099.0898977006857</v>
      </c>
      <c r="AF25" s="27">
        <f>(1/(2*LOG(3.7*$I25/'Calculation Constants'!$B$4*1000)))^2</f>
        <v>1.1458969193927592E-2</v>
      </c>
      <c r="AG25" s="19">
        <f t="shared" si="10"/>
        <v>1.274999100520025</v>
      </c>
      <c r="AH25" s="19">
        <f>IF($H25&gt;0,'Calculation Constants'!$B$9*Hydraulics!$K25^2/2/9.81/MAX($F$4:$F$263)*$H25,"")</f>
        <v>6.098258683766869E-2</v>
      </c>
      <c r="AI25" s="19">
        <f t="shared" si="22"/>
        <v>1.3359816873576937</v>
      </c>
      <c r="AJ25" s="19">
        <f t="shared" si="11"/>
        <v>0</v>
      </c>
      <c r="AK25" s="19">
        <f t="shared" si="23"/>
        <v>43.103201439066197</v>
      </c>
      <c r="AL25" s="23">
        <f t="shared" si="12"/>
        <v>1096.9742014390663</v>
      </c>
      <c r="AM25" s="22">
        <f>(1/(2*LOG(3.7*($I25-0.008)/'Calculation Constants'!$B$5*1000)))^2</f>
        <v>1.4542845531075887E-2</v>
      </c>
      <c r="AN25" s="19">
        <f t="shared" si="24"/>
        <v>1.6249731396833385</v>
      </c>
      <c r="AO25" s="19">
        <f>IF($H25&gt;0,'Calculation Constants'!$B$9*Hydraulics!$K25^2/2/9.81/MAX($F$4:$F$263)*$H25,"")</f>
        <v>6.098258683766869E-2</v>
      </c>
      <c r="AP25" s="19">
        <f t="shared" si="25"/>
        <v>1.6859557265210072</v>
      </c>
      <c r="AQ25" s="19">
        <f t="shared" si="13"/>
        <v>0</v>
      </c>
      <c r="AR25" s="19">
        <f t="shared" si="26"/>
        <v>39.253487008267712</v>
      </c>
      <c r="AS25" s="23">
        <f t="shared" si="14"/>
        <v>1093.1244870082678</v>
      </c>
    </row>
    <row r="26" spans="1:45">
      <c r="E26" s="35" t="str">
        <f t="shared" si="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7"/>
        <v>2</v>
      </c>
      <c r="I26" s="19">
        <v>1.9</v>
      </c>
      <c r="J26" s="36">
        <f>'Flow Rate Calculations'!$B$7</f>
        <v>4.0831050228310497</v>
      </c>
      <c r="K26" s="36">
        <f t="shared" si="16"/>
        <v>1.440102709245225</v>
      </c>
      <c r="L26" s="37">
        <f>$I26*$K26/'Calculation Constants'!$B$7</f>
        <v>2421411.6350140949</v>
      </c>
      <c r="M26" s="37">
        <f t="shared" si="1"/>
        <v>61.25</v>
      </c>
      <c r="N26" s="23">
        <f t="shared" si="17"/>
        <v>48.942066860823616</v>
      </c>
      <c r="O26" s="57">
        <f t="shared" si="2"/>
        <v>61.25</v>
      </c>
      <c r="P26" s="66">
        <f>MAX(I26*1000/'Calculation Constants'!$B$14,O26*10*I26*1000/2/('Calculation Constants'!$B$12*1000*'Calculation Constants'!$B$13))</f>
        <v>11.875</v>
      </c>
      <c r="Q26" s="68">
        <f t="shared" si="3"/>
        <v>1105894.9783427313</v>
      </c>
      <c r="R26" s="27">
        <f>(1/(2*LOG(3.7*$I26/'Calculation Constants'!$B$2*1000)))^2</f>
        <v>8.6699836115820689E-3</v>
      </c>
      <c r="S26" s="19">
        <f t="shared" si="18"/>
        <v>0.96467850809376621</v>
      </c>
      <c r="T26" s="19">
        <f>IF($H26&gt;0,'Calculation Constants'!$B$9*Hydraulics!$K26^2/2/9.81/MAX($F$4:$F$263)*$H26,"")</f>
        <v>6.098258683766869E-2</v>
      </c>
      <c r="U26" s="19">
        <f t="shared" si="19"/>
        <v>1.0256610949314349</v>
      </c>
      <c r="V26" s="19">
        <f t="shared" si="4"/>
        <v>0</v>
      </c>
      <c r="W26" s="19">
        <f t="shared" si="5"/>
        <v>48.942066860823616</v>
      </c>
      <c r="X26" s="23">
        <f t="shared" si="6"/>
        <v>1099.3620668608237</v>
      </c>
      <c r="Y26" s="22">
        <f>(1/(2*LOG(3.7*$I26/'Calculation Constants'!$B$3*1000)))^2</f>
        <v>9.7303620360708887E-3</v>
      </c>
      <c r="Z26" s="19">
        <f t="shared" si="7"/>
        <v>1.0826630767363397</v>
      </c>
      <c r="AA26" s="19">
        <f>IF($H26&gt;0,'Calculation Constants'!$B$9*Hydraulics!$K26^2/2/9.81/MAX($F$4:$F$263)*$H26,"")</f>
        <v>6.098258683766869E-2</v>
      </c>
      <c r="AB26" s="19">
        <f t="shared" si="28"/>
        <v>1.1436456635740084</v>
      </c>
      <c r="AC26" s="19">
        <f t="shared" si="8"/>
        <v>0</v>
      </c>
      <c r="AD26" s="19">
        <f t="shared" si="21"/>
        <v>47.52625203711159</v>
      </c>
      <c r="AE26" s="23">
        <f t="shared" si="9"/>
        <v>1097.9462520371117</v>
      </c>
      <c r="AF26" s="27">
        <f>(1/(2*LOG(3.7*$I26/'Calculation Constants'!$B$4*1000)))^2</f>
        <v>1.1458969193927592E-2</v>
      </c>
      <c r="AG26" s="19">
        <f t="shared" si="10"/>
        <v>1.274999100520025</v>
      </c>
      <c r="AH26" s="19">
        <f>IF($H26&gt;0,'Calculation Constants'!$B$9*Hydraulics!$K26^2/2/9.81/MAX($F$4:$F$263)*$H26,"")</f>
        <v>6.098258683766869E-2</v>
      </c>
      <c r="AI26" s="19">
        <f t="shared" si="22"/>
        <v>1.3359816873576937</v>
      </c>
      <c r="AJ26" s="19">
        <f t="shared" si="11"/>
        <v>0</v>
      </c>
      <c r="AK26" s="19">
        <f t="shared" si="23"/>
        <v>45.218219751708602</v>
      </c>
      <c r="AL26" s="23">
        <f t="shared" si="12"/>
        <v>1095.6382197517087</v>
      </c>
      <c r="AM26" s="22">
        <f>(1/(2*LOG(3.7*($I26-0.008)/'Calculation Constants'!$B$5*1000)))^2</f>
        <v>1.4542845531075887E-2</v>
      </c>
      <c r="AN26" s="19">
        <f t="shared" si="24"/>
        <v>1.6249731396833385</v>
      </c>
      <c r="AO26" s="19">
        <f>IF($H26&gt;0,'Calculation Constants'!$B$9*Hydraulics!$K26^2/2/9.81/MAX($F$4:$F$263)*$H26,"")</f>
        <v>6.098258683766869E-2</v>
      </c>
      <c r="AP26" s="19">
        <f t="shared" si="25"/>
        <v>1.6859557265210072</v>
      </c>
      <c r="AQ26" s="19">
        <f t="shared" si="13"/>
        <v>0</v>
      </c>
      <c r="AR26" s="19">
        <f t="shared" si="26"/>
        <v>41.018531281746618</v>
      </c>
      <c r="AS26" s="23">
        <f t="shared" si="14"/>
        <v>1091.4385312817467</v>
      </c>
    </row>
    <row r="27" spans="1:45">
      <c r="E27" s="35" t="str">
        <f t="shared" si="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7"/>
        <v>2</v>
      </c>
      <c r="I27" s="19">
        <v>1.9</v>
      </c>
      <c r="J27" s="36">
        <f>'Flow Rate Calculations'!$B$7</f>
        <v>4.0831050228310497</v>
      </c>
      <c r="K27" s="36">
        <f t="shared" si="16"/>
        <v>1.440102709245225</v>
      </c>
      <c r="L27" s="37">
        <f>$I27*$K27/'Calculation Constants'!$B$7</f>
        <v>2421411.6350140949</v>
      </c>
      <c r="M27" s="37">
        <f t="shared" si="1"/>
        <v>58.966000000000122</v>
      </c>
      <c r="N27" s="23">
        <f t="shared" si="17"/>
        <v>45.632405765892372</v>
      </c>
      <c r="O27" s="57">
        <f t="shared" si="2"/>
        <v>58.966000000000122</v>
      </c>
      <c r="P27" s="66">
        <f>MAX(I27*1000/'Calculation Constants'!$B$14,O27*10*I27*1000/2/('Calculation Constants'!$B$12*1000*'Calculation Constants'!$B$13))</f>
        <v>11.875</v>
      </c>
      <c r="Q27" s="68">
        <f t="shared" si="3"/>
        <v>1105894.9783427313</v>
      </c>
      <c r="R27" s="27">
        <f>(1/(2*LOG(3.7*$I27/'Calculation Constants'!$B$2*1000)))^2</f>
        <v>8.6699836115820689E-3</v>
      </c>
      <c r="S27" s="19">
        <f t="shared" si="18"/>
        <v>0.96467850809376621</v>
      </c>
      <c r="T27" s="19">
        <f>IF($H27&gt;0,'Calculation Constants'!$B$9*Hydraulics!$K27^2/2/9.81/MAX($F$4:$F$263)*$H27,"")</f>
        <v>6.098258683766869E-2</v>
      </c>
      <c r="U27" s="19">
        <f t="shared" si="19"/>
        <v>1.0256610949314349</v>
      </c>
      <c r="V27" s="19">
        <f t="shared" si="4"/>
        <v>0</v>
      </c>
      <c r="W27" s="19">
        <f t="shared" si="5"/>
        <v>45.632405765892372</v>
      </c>
      <c r="X27" s="23">
        <f t="shared" si="6"/>
        <v>1098.3364057658923</v>
      </c>
      <c r="Y27" s="22">
        <f>(1/(2*LOG(3.7*$I27/'Calculation Constants'!$B$3*1000)))^2</f>
        <v>9.7303620360708887E-3</v>
      </c>
      <c r="Z27" s="19">
        <f t="shared" si="7"/>
        <v>1.0826630767363397</v>
      </c>
      <c r="AA27" s="19">
        <f>IF($H27&gt;0,'Calculation Constants'!$B$9*Hydraulics!$K27^2/2/9.81/MAX($F$4:$F$263)*$H27,"")</f>
        <v>6.098258683766869E-2</v>
      </c>
      <c r="AB27" s="19">
        <f t="shared" si="28"/>
        <v>1.1436456635740084</v>
      </c>
      <c r="AC27" s="19">
        <f t="shared" si="8"/>
        <v>0</v>
      </c>
      <c r="AD27" s="19">
        <f t="shared" si="21"/>
        <v>44.098606373537677</v>
      </c>
      <c r="AE27" s="23">
        <f t="shared" si="9"/>
        <v>1096.8026063735376</v>
      </c>
      <c r="AF27" s="27">
        <f>(1/(2*LOG(3.7*$I27/'Calculation Constants'!$B$4*1000)))^2</f>
        <v>1.1458969193927592E-2</v>
      </c>
      <c r="AG27" s="19">
        <f t="shared" si="10"/>
        <v>1.274999100520025</v>
      </c>
      <c r="AH27" s="19">
        <f>IF($H27&gt;0,'Calculation Constants'!$B$9*Hydraulics!$K27^2/2/9.81/MAX($F$4:$F$263)*$H27,"")</f>
        <v>6.098258683766869E-2</v>
      </c>
      <c r="AI27" s="19">
        <f t="shared" si="22"/>
        <v>1.3359816873576937</v>
      </c>
      <c r="AJ27" s="19">
        <f t="shared" si="11"/>
        <v>0</v>
      </c>
      <c r="AK27" s="19">
        <f t="shared" si="23"/>
        <v>41.598238064351108</v>
      </c>
      <c r="AL27" s="23">
        <f t="shared" si="12"/>
        <v>1094.3022380643511</v>
      </c>
      <c r="AM27" s="22">
        <f>(1/(2*LOG(3.7*($I27-0.008)/'Calculation Constants'!$B$5*1000)))^2</f>
        <v>1.4542845531075887E-2</v>
      </c>
      <c r="AN27" s="19">
        <f t="shared" si="24"/>
        <v>1.6249731396833385</v>
      </c>
      <c r="AO27" s="19">
        <f>IF($H27&gt;0,'Calculation Constants'!$B$9*Hydraulics!$K27^2/2/9.81/MAX($F$4:$F$263)*$H27,"")</f>
        <v>6.098258683766869E-2</v>
      </c>
      <c r="AP27" s="19">
        <f t="shared" si="25"/>
        <v>1.6859557265210072</v>
      </c>
      <c r="AQ27" s="19">
        <f t="shared" si="13"/>
        <v>0</v>
      </c>
      <c r="AR27" s="19">
        <f t="shared" si="26"/>
        <v>37.048575555225625</v>
      </c>
      <c r="AS27" s="23">
        <f t="shared" si="14"/>
        <v>1089.7525755552256</v>
      </c>
    </row>
    <row r="28" spans="1:45" ht="18.75">
      <c r="A28" s="55"/>
      <c r="E28" s="35" t="str">
        <f t="shared" si="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7"/>
        <v>2</v>
      </c>
      <c r="I28" s="19">
        <v>1.9</v>
      </c>
      <c r="J28" s="36">
        <f>'Flow Rate Calculations'!$B$7</f>
        <v>4.0831050228310497</v>
      </c>
      <c r="K28" s="36">
        <f t="shared" si="16"/>
        <v>1.440102709245225</v>
      </c>
      <c r="L28" s="37">
        <f>$I28*$K28/'Calculation Constants'!$B$7</f>
        <v>2421411.6350140949</v>
      </c>
      <c r="M28" s="37">
        <f t="shared" si="1"/>
        <v>55.315000000000055</v>
      </c>
      <c r="N28" s="23">
        <f t="shared" si="17"/>
        <v>40.955744670960939</v>
      </c>
      <c r="O28" s="57">
        <f t="shared" si="2"/>
        <v>55.315000000000055</v>
      </c>
      <c r="P28" s="66">
        <f>MAX(I28*1000/'Calculation Constants'!$B$14,O28*10*I28*1000/2/('Calculation Constants'!$B$12*1000*'Calculation Constants'!$B$13))</f>
        <v>11.875</v>
      </c>
      <c r="Q28" s="68">
        <f t="shared" si="3"/>
        <v>1105894.9783427313</v>
      </c>
      <c r="R28" s="27">
        <f>(1/(2*LOG(3.7*$I28/'Calculation Constants'!$B$2*1000)))^2</f>
        <v>8.6699836115820689E-3</v>
      </c>
      <c r="S28" s="19">
        <f t="shared" si="18"/>
        <v>0.96467850809376621</v>
      </c>
      <c r="T28" s="19">
        <f>IF($H28&gt;0,'Calculation Constants'!$B$9*Hydraulics!$K28^2/2/9.81/MAX($F$4:$F$263)*$H28,"")</f>
        <v>6.098258683766869E-2</v>
      </c>
      <c r="U28" s="19">
        <f t="shared" si="19"/>
        <v>1.0256610949314349</v>
      </c>
      <c r="V28" s="19">
        <f t="shared" si="4"/>
        <v>0</v>
      </c>
      <c r="W28" s="19">
        <f t="shared" si="5"/>
        <v>40.955744670960939</v>
      </c>
      <c r="X28" s="23">
        <f t="shared" si="6"/>
        <v>1097.310744670961</v>
      </c>
      <c r="Y28" s="22">
        <f>(1/(2*LOG(3.7*$I28/'Calculation Constants'!$B$3*1000)))^2</f>
        <v>9.7303620360708887E-3</v>
      </c>
      <c r="Z28" s="19">
        <f t="shared" si="7"/>
        <v>1.0826630767363397</v>
      </c>
      <c r="AA28" s="19">
        <f>IF($H28&gt;0,'Calculation Constants'!$B$9*Hydraulics!$K28^2/2/9.81/MAX($F$4:$F$263)*$H28,"")</f>
        <v>6.098258683766869E-2</v>
      </c>
      <c r="AB28" s="19">
        <f t="shared" si="28"/>
        <v>1.1436456635740084</v>
      </c>
      <c r="AC28" s="19">
        <f t="shared" si="8"/>
        <v>0</v>
      </c>
      <c r="AD28" s="19">
        <f t="shared" si="21"/>
        <v>39.303960709963576</v>
      </c>
      <c r="AE28" s="23">
        <f t="shared" si="9"/>
        <v>1095.6589607099636</v>
      </c>
      <c r="AF28" s="27">
        <f>(1/(2*LOG(3.7*$I28/'Calculation Constants'!$B$4*1000)))^2</f>
        <v>1.1458969193927592E-2</v>
      </c>
      <c r="AG28" s="19">
        <f t="shared" si="10"/>
        <v>1.274999100520025</v>
      </c>
      <c r="AH28" s="19">
        <f>IF($H28&gt;0,'Calculation Constants'!$B$9*Hydraulics!$K28^2/2/9.81/MAX($F$4:$F$263)*$H28,"")</f>
        <v>6.098258683766869E-2</v>
      </c>
      <c r="AI28" s="19">
        <f t="shared" si="22"/>
        <v>1.3359816873576937</v>
      </c>
      <c r="AJ28" s="19">
        <f t="shared" si="11"/>
        <v>0</v>
      </c>
      <c r="AK28" s="19">
        <f t="shared" si="23"/>
        <v>36.611256376993424</v>
      </c>
      <c r="AL28" s="23">
        <f t="shared" si="12"/>
        <v>1092.9662563769934</v>
      </c>
      <c r="AM28" s="22">
        <f>(1/(2*LOG(3.7*($I28-0.008)/'Calculation Constants'!$B$5*1000)))^2</f>
        <v>1.4542845531075887E-2</v>
      </c>
      <c r="AN28" s="19">
        <f t="shared" si="24"/>
        <v>1.6249731396833385</v>
      </c>
      <c r="AO28" s="19">
        <f>IF($H28&gt;0,'Calculation Constants'!$B$9*Hydraulics!$K28^2/2/9.81/MAX($F$4:$F$263)*$H28,"")</f>
        <v>6.098258683766869E-2</v>
      </c>
      <c r="AP28" s="19">
        <f t="shared" si="25"/>
        <v>1.6859557265210072</v>
      </c>
      <c r="AQ28" s="19">
        <f t="shared" si="13"/>
        <v>0</v>
      </c>
      <c r="AR28" s="19">
        <f t="shared" si="26"/>
        <v>31.711619828704443</v>
      </c>
      <c r="AS28" s="23">
        <f t="shared" si="14"/>
        <v>1088.0666198287045</v>
      </c>
    </row>
    <row r="29" spans="1:45" ht="18.75">
      <c r="A29" s="55"/>
      <c r="E29" s="35" t="str">
        <f t="shared" si="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7"/>
        <v>2</v>
      </c>
      <c r="I29" s="19">
        <v>1.9</v>
      </c>
      <c r="J29" s="36">
        <f>'Flow Rate Calculations'!$B$7</f>
        <v>4.0831050228310497</v>
      </c>
      <c r="K29" s="36">
        <f t="shared" si="16"/>
        <v>1.440102709245225</v>
      </c>
      <c r="L29" s="37">
        <f>$I29*$K29/'Calculation Constants'!$B$7</f>
        <v>2421411.6350140949</v>
      </c>
      <c r="M29" s="37">
        <f t="shared" si="1"/>
        <v>53.204000000000178</v>
      </c>
      <c r="N29" s="23">
        <f t="shared" si="17"/>
        <v>37.819083576029698</v>
      </c>
      <c r="O29" s="57">
        <f t="shared" si="2"/>
        <v>53.204000000000178</v>
      </c>
      <c r="P29" s="66">
        <f>MAX(I29*1000/'Calculation Constants'!$B$14,O29*10*I29*1000/2/('Calculation Constants'!$B$12*1000*'Calculation Constants'!$B$13))</f>
        <v>11.875</v>
      </c>
      <c r="Q29" s="68">
        <f t="shared" si="3"/>
        <v>1105894.9783427313</v>
      </c>
      <c r="R29" s="27">
        <f>(1/(2*LOG(3.7*$I29/'Calculation Constants'!$B$2*1000)))^2</f>
        <v>8.6699836115820689E-3</v>
      </c>
      <c r="S29" s="19">
        <f t="shared" si="18"/>
        <v>0.96467850809376621</v>
      </c>
      <c r="T29" s="19">
        <f>IF($H29&gt;0,'Calculation Constants'!$B$9*Hydraulics!$K29^2/2/9.81/MAX($F$4:$F$263)*$H29,"")</f>
        <v>6.098258683766869E-2</v>
      </c>
      <c r="U29" s="19">
        <f t="shared" si="19"/>
        <v>1.0256610949314349</v>
      </c>
      <c r="V29" s="19">
        <f t="shared" si="4"/>
        <v>0</v>
      </c>
      <c r="W29" s="19">
        <f t="shared" si="5"/>
        <v>37.819083576029698</v>
      </c>
      <c r="X29" s="23">
        <f t="shared" si="6"/>
        <v>1096.2850835760296</v>
      </c>
      <c r="Y29" s="22">
        <f>(1/(2*LOG(3.7*$I29/'Calculation Constants'!$B$3*1000)))^2</f>
        <v>9.7303620360708887E-3</v>
      </c>
      <c r="Z29" s="19">
        <f t="shared" si="7"/>
        <v>1.0826630767363397</v>
      </c>
      <c r="AA29" s="19">
        <f>IF($H29&gt;0,'Calculation Constants'!$B$9*Hydraulics!$K29^2/2/9.81/MAX($F$4:$F$263)*$H29,"")</f>
        <v>6.098258683766869E-2</v>
      </c>
      <c r="AB29" s="19">
        <f t="shared" si="28"/>
        <v>1.1436456635740084</v>
      </c>
      <c r="AC29" s="19">
        <f t="shared" si="8"/>
        <v>0</v>
      </c>
      <c r="AD29" s="19">
        <f t="shared" si="21"/>
        <v>36.049315046389665</v>
      </c>
      <c r="AE29" s="23">
        <f t="shared" si="9"/>
        <v>1094.5153150463896</v>
      </c>
      <c r="AF29" s="27">
        <f>(1/(2*LOG(3.7*$I29/'Calculation Constants'!$B$4*1000)))^2</f>
        <v>1.1458969193927592E-2</v>
      </c>
      <c r="AG29" s="19">
        <f t="shared" si="10"/>
        <v>1.274999100520025</v>
      </c>
      <c r="AH29" s="19">
        <f>IF($H29&gt;0,'Calculation Constants'!$B$9*Hydraulics!$K29^2/2/9.81/MAX($F$4:$F$263)*$H29,"")</f>
        <v>6.098258683766869E-2</v>
      </c>
      <c r="AI29" s="19">
        <f t="shared" si="22"/>
        <v>1.3359816873576937</v>
      </c>
      <c r="AJ29" s="19">
        <f t="shared" si="11"/>
        <v>0</v>
      </c>
      <c r="AK29" s="19">
        <f t="shared" si="23"/>
        <v>33.164274689635931</v>
      </c>
      <c r="AL29" s="23">
        <f t="shared" si="12"/>
        <v>1091.6302746896358</v>
      </c>
      <c r="AM29" s="22">
        <f>(1/(2*LOG(3.7*($I29-0.008)/'Calculation Constants'!$B$5*1000)))^2</f>
        <v>1.4542845531075887E-2</v>
      </c>
      <c r="AN29" s="19">
        <f t="shared" si="24"/>
        <v>1.6249731396833385</v>
      </c>
      <c r="AO29" s="19">
        <f>IF($H29&gt;0,'Calculation Constants'!$B$9*Hydraulics!$K29^2/2/9.81/MAX($F$4:$F$263)*$H29,"")</f>
        <v>6.098258683766869E-2</v>
      </c>
      <c r="AP29" s="19">
        <f t="shared" si="25"/>
        <v>1.6859557265210072</v>
      </c>
      <c r="AQ29" s="19">
        <f t="shared" si="13"/>
        <v>0</v>
      </c>
      <c r="AR29" s="19">
        <f t="shared" si="26"/>
        <v>27.914664102183451</v>
      </c>
      <c r="AS29" s="23">
        <f t="shared" si="14"/>
        <v>1086.3806641021833</v>
      </c>
    </row>
    <row r="30" spans="1:45" ht="18.75">
      <c r="A30" s="55"/>
      <c r="E30" s="35" t="str">
        <f t="shared" si="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7"/>
        <v>2</v>
      </c>
      <c r="I30" s="19">
        <v>1.9</v>
      </c>
      <c r="J30" s="36">
        <f>'Flow Rate Calculations'!$B$7</f>
        <v>4.0831050228310497</v>
      </c>
      <c r="K30" s="36">
        <f t="shared" si="16"/>
        <v>1.440102709245225</v>
      </c>
      <c r="L30" s="37">
        <f>$I30*$K30/'Calculation Constants'!$B$7</f>
        <v>2421411.6350140949</v>
      </c>
      <c r="M30" s="37">
        <f t="shared" si="1"/>
        <v>55.680000000000064</v>
      </c>
      <c r="N30" s="23">
        <f t="shared" si="17"/>
        <v>39.269422481098218</v>
      </c>
      <c r="O30" s="57">
        <f t="shared" si="2"/>
        <v>55.680000000000064</v>
      </c>
      <c r="P30" s="66">
        <f>MAX(I30*1000/'Calculation Constants'!$B$14,O30*10*I30*1000/2/('Calculation Constants'!$B$12*1000*'Calculation Constants'!$B$13))</f>
        <v>11.875</v>
      </c>
      <c r="Q30" s="68">
        <f t="shared" si="3"/>
        <v>1105894.9783427313</v>
      </c>
      <c r="R30" s="27">
        <f>(1/(2*LOG(3.7*$I30/'Calculation Constants'!$B$2*1000)))^2</f>
        <v>8.6699836115820689E-3</v>
      </c>
      <c r="S30" s="19">
        <f t="shared" si="18"/>
        <v>0.96467850809376621</v>
      </c>
      <c r="T30" s="19">
        <f>IF($H30&gt;0,'Calculation Constants'!$B$9*Hydraulics!$K30^2/2/9.81/MAX($F$4:$F$263)*$H30,"")</f>
        <v>6.098258683766869E-2</v>
      </c>
      <c r="U30" s="19">
        <f t="shared" si="19"/>
        <v>1.0256610949314349</v>
      </c>
      <c r="V30" s="19">
        <f t="shared" si="4"/>
        <v>0</v>
      </c>
      <c r="W30" s="19">
        <f t="shared" si="5"/>
        <v>39.269422481098218</v>
      </c>
      <c r="X30" s="23">
        <f t="shared" si="6"/>
        <v>1095.2594224810982</v>
      </c>
      <c r="Y30" s="22">
        <f>(1/(2*LOG(3.7*$I30/'Calculation Constants'!$B$3*1000)))^2</f>
        <v>9.7303620360708887E-3</v>
      </c>
      <c r="Z30" s="19">
        <f t="shared" si="7"/>
        <v>1.0826630767363397</v>
      </c>
      <c r="AA30" s="19">
        <f>IF($H30&gt;0,'Calculation Constants'!$B$9*Hydraulics!$K30^2/2/9.81/MAX($F$4:$F$263)*$H30,"")</f>
        <v>6.098258683766869E-2</v>
      </c>
      <c r="AB30" s="19">
        <f t="shared" si="28"/>
        <v>1.1436456635740084</v>
      </c>
      <c r="AC30" s="19">
        <f t="shared" si="8"/>
        <v>0</v>
      </c>
      <c r="AD30" s="19">
        <f t="shared" si="21"/>
        <v>37.381669382815517</v>
      </c>
      <c r="AE30" s="23">
        <f t="shared" si="9"/>
        <v>1093.3716693828155</v>
      </c>
      <c r="AF30" s="27">
        <f>(1/(2*LOG(3.7*$I30/'Calculation Constants'!$B$4*1000)))^2</f>
        <v>1.1458969193927592E-2</v>
      </c>
      <c r="AG30" s="19">
        <f t="shared" si="10"/>
        <v>1.274999100520025</v>
      </c>
      <c r="AH30" s="19">
        <f>IF($H30&gt;0,'Calculation Constants'!$B$9*Hydraulics!$K30^2/2/9.81/MAX($F$4:$F$263)*$H30,"")</f>
        <v>6.098258683766869E-2</v>
      </c>
      <c r="AI30" s="19">
        <f t="shared" si="22"/>
        <v>1.3359816873576937</v>
      </c>
      <c r="AJ30" s="19">
        <f t="shared" si="11"/>
        <v>0</v>
      </c>
      <c r="AK30" s="19">
        <f t="shared" si="23"/>
        <v>34.3042930022782</v>
      </c>
      <c r="AL30" s="23">
        <f t="shared" si="12"/>
        <v>1090.2942930022782</v>
      </c>
      <c r="AM30" s="22">
        <f>(1/(2*LOG(3.7*($I30-0.008)/'Calculation Constants'!$B$5*1000)))^2</f>
        <v>1.4542845531075887E-2</v>
      </c>
      <c r="AN30" s="19">
        <f t="shared" si="24"/>
        <v>1.6249731396833385</v>
      </c>
      <c r="AO30" s="19">
        <f>IF($H30&gt;0,'Calculation Constants'!$B$9*Hydraulics!$K30^2/2/9.81/MAX($F$4:$F$263)*$H30,"")</f>
        <v>6.098258683766869E-2</v>
      </c>
      <c r="AP30" s="19">
        <f t="shared" si="25"/>
        <v>1.6859557265210072</v>
      </c>
      <c r="AQ30" s="19">
        <f t="shared" si="13"/>
        <v>0</v>
      </c>
      <c r="AR30" s="19">
        <f t="shared" si="26"/>
        <v>28.704708375662221</v>
      </c>
      <c r="AS30" s="23">
        <f t="shared" si="14"/>
        <v>1084.6947083756622</v>
      </c>
    </row>
    <row r="31" spans="1:45">
      <c r="E31" s="35" t="str">
        <f t="shared" si="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7"/>
        <v>2</v>
      </c>
      <c r="I31" s="19">
        <v>1.9</v>
      </c>
      <c r="J31" s="36">
        <f>'Flow Rate Calculations'!$B$7</f>
        <v>4.0831050228310497</v>
      </c>
      <c r="K31" s="36">
        <f t="shared" si="16"/>
        <v>1.440102709245225</v>
      </c>
      <c r="L31" s="37">
        <f>$I31*$K31/'Calculation Constants'!$B$7</f>
        <v>2421411.6350140949</v>
      </c>
      <c r="M31" s="37">
        <f t="shared" si="1"/>
        <v>56.009999999999991</v>
      </c>
      <c r="N31" s="23">
        <f t="shared" si="17"/>
        <v>38.57376138616678</v>
      </c>
      <c r="O31" s="57">
        <f t="shared" si="2"/>
        <v>56.009999999999991</v>
      </c>
      <c r="P31" s="66">
        <f>MAX(I31*1000/'Calculation Constants'!$B$14,O31*10*I31*1000/2/('Calculation Constants'!$B$12*1000*'Calculation Constants'!$B$13))</f>
        <v>11.875</v>
      </c>
      <c r="Q31" s="68">
        <f t="shared" si="3"/>
        <v>1105894.9783427313</v>
      </c>
      <c r="R31" s="27">
        <f>(1/(2*LOG(3.7*$I31/'Calculation Constants'!$B$2*1000)))^2</f>
        <v>8.6699836115820689E-3</v>
      </c>
      <c r="S31" s="19">
        <f t="shared" si="18"/>
        <v>0.96467850809376621</v>
      </c>
      <c r="T31" s="19">
        <f>IF($H31&gt;0,'Calculation Constants'!$B$9*Hydraulics!$K31^2/2/9.81/MAX($F$4:$F$263)*$H31,"")</f>
        <v>6.098258683766869E-2</v>
      </c>
      <c r="U31" s="19">
        <f t="shared" si="19"/>
        <v>1.0256610949314349</v>
      </c>
      <c r="V31" s="19">
        <f t="shared" si="4"/>
        <v>0</v>
      </c>
      <c r="W31" s="19">
        <f t="shared" si="5"/>
        <v>38.57376138616678</v>
      </c>
      <c r="X31" s="23">
        <f t="shared" si="6"/>
        <v>1094.2337613861669</v>
      </c>
      <c r="Y31" s="22">
        <f>(1/(2*LOG(3.7*$I31/'Calculation Constants'!$B$3*1000)))^2</f>
        <v>9.7303620360708887E-3</v>
      </c>
      <c r="Z31" s="19">
        <f t="shared" si="7"/>
        <v>1.0826630767363397</v>
      </c>
      <c r="AA31" s="19">
        <f>IF($H31&gt;0,'Calculation Constants'!$B$9*Hydraulics!$K31^2/2/9.81/MAX($F$4:$F$263)*$H31,"")</f>
        <v>6.098258683766869E-2</v>
      </c>
      <c r="AB31" s="19">
        <f t="shared" si="28"/>
        <v>1.1436456635740084</v>
      </c>
      <c r="AC31" s="19">
        <f t="shared" si="8"/>
        <v>0</v>
      </c>
      <c r="AD31" s="19">
        <f t="shared" si="21"/>
        <v>36.56802371924141</v>
      </c>
      <c r="AE31" s="23">
        <f t="shared" si="9"/>
        <v>1092.2280237192415</v>
      </c>
      <c r="AF31" s="27">
        <f>(1/(2*LOG(3.7*$I31/'Calculation Constants'!$B$4*1000)))^2</f>
        <v>1.1458969193927592E-2</v>
      </c>
      <c r="AG31" s="19">
        <f t="shared" si="10"/>
        <v>1.274999100520025</v>
      </c>
      <c r="AH31" s="19">
        <f>IF($H31&gt;0,'Calculation Constants'!$B$9*Hydraulics!$K31^2/2/9.81/MAX($F$4:$F$263)*$H31,"")</f>
        <v>6.098258683766869E-2</v>
      </c>
      <c r="AI31" s="19">
        <f t="shared" si="22"/>
        <v>1.3359816873576937</v>
      </c>
      <c r="AJ31" s="19">
        <f t="shared" si="11"/>
        <v>0</v>
      </c>
      <c r="AK31" s="19">
        <f t="shared" si="23"/>
        <v>33.298311314920511</v>
      </c>
      <c r="AL31" s="23">
        <f t="shared" si="12"/>
        <v>1088.9583113149206</v>
      </c>
      <c r="AM31" s="22">
        <f>(1/(2*LOG(3.7*($I31-0.008)/'Calculation Constants'!$B$5*1000)))^2</f>
        <v>1.4542845531075887E-2</v>
      </c>
      <c r="AN31" s="19">
        <f t="shared" si="24"/>
        <v>1.6249731396833385</v>
      </c>
      <c r="AO31" s="19">
        <f>IF($H31&gt;0,'Calculation Constants'!$B$9*Hydraulics!$K31^2/2/9.81/MAX($F$4:$F$263)*$H31,"")</f>
        <v>6.098258683766869E-2</v>
      </c>
      <c r="AP31" s="19">
        <f t="shared" si="25"/>
        <v>1.6859557265210072</v>
      </c>
      <c r="AQ31" s="19">
        <f t="shared" si="13"/>
        <v>0</v>
      </c>
      <c r="AR31" s="19">
        <f t="shared" si="26"/>
        <v>27.348752649141034</v>
      </c>
      <c r="AS31" s="23">
        <f t="shared" si="14"/>
        <v>1083.0087526491411</v>
      </c>
    </row>
    <row r="32" spans="1:45">
      <c r="E32" s="35" t="str">
        <f t="shared" si="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7"/>
        <v>2</v>
      </c>
      <c r="I32" s="19">
        <v>1.9</v>
      </c>
      <c r="J32" s="36">
        <f>'Flow Rate Calculations'!$B$7</f>
        <v>4.0831050228310497</v>
      </c>
      <c r="K32" s="36">
        <f t="shared" si="16"/>
        <v>1.440102709245225</v>
      </c>
      <c r="L32" s="37">
        <f>$I32*$K32/'Calculation Constants'!$B$7</f>
        <v>2421411.6350140949</v>
      </c>
      <c r="M32" s="37">
        <f t="shared" si="1"/>
        <v>55.266000000000076</v>
      </c>
      <c r="N32" s="23">
        <f t="shared" si="17"/>
        <v>36.8041002912355</v>
      </c>
      <c r="O32" s="57">
        <f t="shared" si="2"/>
        <v>55.266000000000076</v>
      </c>
      <c r="P32" s="66">
        <f>MAX(I32*1000/'Calculation Constants'!$B$14,O32*10*I32*1000/2/('Calculation Constants'!$B$12*1000*'Calculation Constants'!$B$13))</f>
        <v>11.875</v>
      </c>
      <c r="Q32" s="68">
        <f t="shared" si="3"/>
        <v>1105894.9783427313</v>
      </c>
      <c r="R32" s="27">
        <f>(1/(2*LOG(3.7*$I32/'Calculation Constants'!$B$2*1000)))^2</f>
        <v>8.6699836115820689E-3</v>
      </c>
      <c r="S32" s="19">
        <f t="shared" si="18"/>
        <v>0.96467850809376621</v>
      </c>
      <c r="T32" s="19">
        <f>IF($H32&gt;0,'Calculation Constants'!$B$9*Hydraulics!$K32^2/2/9.81/MAX($F$4:$F$263)*$H32,"")</f>
        <v>6.098258683766869E-2</v>
      </c>
      <c r="U32" s="19">
        <f t="shared" si="19"/>
        <v>1.0256610949314349</v>
      </c>
      <c r="V32" s="19">
        <f t="shared" si="4"/>
        <v>0</v>
      </c>
      <c r="W32" s="19">
        <f t="shared" si="5"/>
        <v>36.8041002912355</v>
      </c>
      <c r="X32" s="23">
        <f t="shared" si="6"/>
        <v>1093.2081002912355</v>
      </c>
      <c r="Y32" s="22">
        <f>(1/(2*LOG(3.7*$I32/'Calculation Constants'!$B$3*1000)))^2</f>
        <v>9.7303620360708887E-3</v>
      </c>
      <c r="Z32" s="19">
        <f t="shared" si="7"/>
        <v>1.0826630767363397</v>
      </c>
      <c r="AA32" s="19">
        <f>IF($H32&gt;0,'Calculation Constants'!$B$9*Hydraulics!$K32^2/2/9.81/MAX($F$4:$F$263)*$H32,"")</f>
        <v>6.098258683766869E-2</v>
      </c>
      <c r="AB32" s="19">
        <f t="shared" si="28"/>
        <v>1.1436456635740084</v>
      </c>
      <c r="AC32" s="19">
        <f t="shared" si="8"/>
        <v>0</v>
      </c>
      <c r="AD32" s="19">
        <f t="shared" si="21"/>
        <v>34.680378055667461</v>
      </c>
      <c r="AE32" s="23">
        <f t="shared" si="9"/>
        <v>1091.0843780556675</v>
      </c>
      <c r="AF32" s="27">
        <f>(1/(2*LOG(3.7*$I32/'Calculation Constants'!$B$4*1000)))^2</f>
        <v>1.1458969193927592E-2</v>
      </c>
      <c r="AG32" s="19">
        <f t="shared" si="10"/>
        <v>1.274999100520025</v>
      </c>
      <c r="AH32" s="19">
        <f>IF($H32&gt;0,'Calculation Constants'!$B$9*Hydraulics!$K32^2/2/9.81/MAX($F$4:$F$263)*$H32,"")</f>
        <v>6.098258683766869E-2</v>
      </c>
      <c r="AI32" s="19">
        <f t="shared" si="22"/>
        <v>1.3359816873576937</v>
      </c>
      <c r="AJ32" s="19">
        <f t="shared" si="11"/>
        <v>0</v>
      </c>
      <c r="AK32" s="19">
        <f t="shared" si="23"/>
        <v>31.21832962756298</v>
      </c>
      <c r="AL32" s="23">
        <f t="shared" si="12"/>
        <v>1087.622329627563</v>
      </c>
      <c r="AM32" s="22">
        <f>(1/(2*LOG(3.7*($I32-0.008)/'Calculation Constants'!$B$5*1000)))^2</f>
        <v>1.4542845531075887E-2</v>
      </c>
      <c r="AN32" s="19">
        <f t="shared" si="24"/>
        <v>1.6249731396833385</v>
      </c>
      <c r="AO32" s="19">
        <f>IF($H32&gt;0,'Calculation Constants'!$B$9*Hydraulics!$K32^2/2/9.81/MAX($F$4:$F$263)*$H32,"")</f>
        <v>6.098258683766869E-2</v>
      </c>
      <c r="AP32" s="19">
        <f t="shared" si="25"/>
        <v>1.6859557265210072</v>
      </c>
      <c r="AQ32" s="19">
        <f t="shared" si="13"/>
        <v>0</v>
      </c>
      <c r="AR32" s="19">
        <f t="shared" si="26"/>
        <v>24.918796922620004</v>
      </c>
      <c r="AS32" s="23">
        <f t="shared" si="14"/>
        <v>1081.32279692262</v>
      </c>
    </row>
    <row r="33" spans="5:45">
      <c r="E33" s="35" t="str">
        <f t="shared" si="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7"/>
        <v>2</v>
      </c>
      <c r="I33" s="19">
        <v>1.9</v>
      </c>
      <c r="J33" s="36">
        <f>'Flow Rate Calculations'!$B$7</f>
        <v>4.0831050228310497</v>
      </c>
      <c r="K33" s="36">
        <f t="shared" si="16"/>
        <v>1.440102709245225</v>
      </c>
      <c r="L33" s="37">
        <f>$I33*$K33/'Calculation Constants'!$B$7</f>
        <v>2421411.6350140949</v>
      </c>
      <c r="M33" s="37">
        <f t="shared" si="1"/>
        <v>54.829000000000178</v>
      </c>
      <c r="N33" s="23">
        <f t="shared" si="17"/>
        <v>35.341439196304236</v>
      </c>
      <c r="O33" s="57">
        <f t="shared" si="2"/>
        <v>54.829000000000178</v>
      </c>
      <c r="P33" s="66">
        <f>MAX(I33*1000/'Calculation Constants'!$B$14,O33*10*I33*1000/2/('Calculation Constants'!$B$12*1000*'Calculation Constants'!$B$13))</f>
        <v>11.875</v>
      </c>
      <c r="Q33" s="68">
        <f t="shared" si="3"/>
        <v>1105894.9783427313</v>
      </c>
      <c r="R33" s="27">
        <f>(1/(2*LOG(3.7*$I33/'Calculation Constants'!$B$2*1000)))^2</f>
        <v>8.6699836115820689E-3</v>
      </c>
      <c r="S33" s="19">
        <f t="shared" si="18"/>
        <v>0.96467850809376621</v>
      </c>
      <c r="T33" s="19">
        <f>IF($H33&gt;0,'Calculation Constants'!$B$9*Hydraulics!$K33^2/2/9.81/MAX($F$4:$F$263)*$H33,"")</f>
        <v>6.098258683766869E-2</v>
      </c>
      <c r="U33" s="19">
        <f t="shared" si="19"/>
        <v>1.0256610949314349</v>
      </c>
      <c r="V33" s="19">
        <f t="shared" si="4"/>
        <v>0</v>
      </c>
      <c r="W33" s="19">
        <f t="shared" si="5"/>
        <v>35.341439196304236</v>
      </c>
      <c r="X33" s="23">
        <f t="shared" si="6"/>
        <v>1092.1824391963041</v>
      </c>
      <c r="Y33" s="22">
        <f>(1/(2*LOG(3.7*$I33/'Calculation Constants'!$B$3*1000)))^2</f>
        <v>9.7303620360708887E-3</v>
      </c>
      <c r="Z33" s="19">
        <f t="shared" si="7"/>
        <v>1.0826630767363397</v>
      </c>
      <c r="AA33" s="19">
        <f>IF($H33&gt;0,'Calculation Constants'!$B$9*Hydraulics!$K33^2/2/9.81/MAX($F$4:$F$263)*$H33,"")</f>
        <v>6.098258683766869E-2</v>
      </c>
      <c r="AB33" s="19">
        <f t="shared" si="28"/>
        <v>1.1436456635740084</v>
      </c>
      <c r="AC33" s="19">
        <f t="shared" si="8"/>
        <v>0</v>
      </c>
      <c r="AD33" s="19">
        <f t="shared" si="21"/>
        <v>33.099732392093529</v>
      </c>
      <c r="AE33" s="23">
        <f t="shared" si="9"/>
        <v>1089.9407323920934</v>
      </c>
      <c r="AF33" s="27">
        <f>(1/(2*LOG(3.7*$I33/'Calculation Constants'!$B$4*1000)))^2</f>
        <v>1.1458969193927592E-2</v>
      </c>
      <c r="AG33" s="19">
        <f t="shared" si="10"/>
        <v>1.274999100520025</v>
      </c>
      <c r="AH33" s="19">
        <f>IF($H33&gt;0,'Calculation Constants'!$B$9*Hydraulics!$K33^2/2/9.81/MAX($F$4:$F$263)*$H33,"")</f>
        <v>6.098258683766869E-2</v>
      </c>
      <c r="AI33" s="19">
        <f t="shared" si="22"/>
        <v>1.3359816873576937</v>
      </c>
      <c r="AJ33" s="19">
        <f t="shared" si="11"/>
        <v>0</v>
      </c>
      <c r="AK33" s="19">
        <f t="shared" si="23"/>
        <v>29.445347940205465</v>
      </c>
      <c r="AL33" s="23">
        <f t="shared" si="12"/>
        <v>1086.2863479402054</v>
      </c>
      <c r="AM33" s="22">
        <f>(1/(2*LOG(3.7*($I33-0.008)/'Calculation Constants'!$B$5*1000)))^2</f>
        <v>1.4542845531075887E-2</v>
      </c>
      <c r="AN33" s="19">
        <f t="shared" si="24"/>
        <v>1.6249731396833385</v>
      </c>
      <c r="AO33" s="19">
        <f>IF($H33&gt;0,'Calculation Constants'!$B$9*Hydraulics!$K33^2/2/9.81/MAX($F$4:$F$263)*$H33,"")</f>
        <v>6.098258683766869E-2</v>
      </c>
      <c r="AP33" s="19">
        <f t="shared" si="25"/>
        <v>1.6859557265210072</v>
      </c>
      <c r="AQ33" s="19">
        <f t="shared" si="13"/>
        <v>0</v>
      </c>
      <c r="AR33" s="19">
        <f t="shared" si="26"/>
        <v>22.795841196098991</v>
      </c>
      <c r="AS33" s="23">
        <f t="shared" si="14"/>
        <v>1079.6368411960989</v>
      </c>
    </row>
    <row r="34" spans="5:45">
      <c r="E34" s="35" t="str">
        <f t="shared" si="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7"/>
        <v>2</v>
      </c>
      <c r="I34" s="19">
        <v>1.9</v>
      </c>
      <c r="J34" s="36">
        <f>'Flow Rate Calculations'!$B$7</f>
        <v>4.0831050228310497</v>
      </c>
      <c r="K34" s="36">
        <f t="shared" si="16"/>
        <v>1.440102709245225</v>
      </c>
      <c r="L34" s="37">
        <f>$I34*$K34/'Calculation Constants'!$B$7</f>
        <v>2421411.6350140949</v>
      </c>
      <c r="M34" s="37">
        <f t="shared" si="1"/>
        <v>55.29300000000012</v>
      </c>
      <c r="N34" s="23">
        <f t="shared" si="17"/>
        <v>34.779778101372813</v>
      </c>
      <c r="O34" s="57">
        <f t="shared" si="2"/>
        <v>55.29300000000012</v>
      </c>
      <c r="P34" s="66">
        <f>MAX(I34*1000/'Calculation Constants'!$B$14,O34*10*I34*1000/2/('Calculation Constants'!$B$12*1000*'Calculation Constants'!$B$13))</f>
        <v>11.875</v>
      </c>
      <c r="Q34" s="68">
        <f t="shared" si="3"/>
        <v>1105894.9783427313</v>
      </c>
      <c r="R34" s="27">
        <f>(1/(2*LOG(3.7*$I34/'Calculation Constants'!$B$2*1000)))^2</f>
        <v>8.6699836115820689E-3</v>
      </c>
      <c r="S34" s="19">
        <f t="shared" si="18"/>
        <v>0.96467850809376621</v>
      </c>
      <c r="T34" s="19">
        <f>IF($H34&gt;0,'Calculation Constants'!$B$9*Hydraulics!$K34^2/2/9.81/MAX($F$4:$F$263)*$H34,"")</f>
        <v>6.098258683766869E-2</v>
      </c>
      <c r="U34" s="19">
        <f t="shared" si="19"/>
        <v>1.0256610949314349</v>
      </c>
      <c r="V34" s="19">
        <f t="shared" si="4"/>
        <v>0</v>
      </c>
      <c r="W34" s="19">
        <f t="shared" si="5"/>
        <v>34.779778101372813</v>
      </c>
      <c r="X34" s="23">
        <f t="shared" si="6"/>
        <v>1091.1567781013728</v>
      </c>
      <c r="Y34" s="22">
        <f>(1/(2*LOG(3.7*$I34/'Calculation Constants'!$B$3*1000)))^2</f>
        <v>9.7303620360708887E-3</v>
      </c>
      <c r="Z34" s="19">
        <f t="shared" si="7"/>
        <v>1.0826630767363397</v>
      </c>
      <c r="AA34" s="19">
        <f>IF($H34&gt;0,'Calculation Constants'!$B$9*Hydraulics!$K34^2/2/9.81/MAX($F$4:$F$263)*$H34,"")</f>
        <v>6.098258683766869E-2</v>
      </c>
      <c r="AB34" s="19">
        <f t="shared" si="28"/>
        <v>1.1436456635740084</v>
      </c>
      <c r="AC34" s="19">
        <f t="shared" si="8"/>
        <v>0</v>
      </c>
      <c r="AD34" s="19">
        <f t="shared" si="21"/>
        <v>32.420086728519436</v>
      </c>
      <c r="AE34" s="23">
        <f t="shared" si="9"/>
        <v>1088.7970867285194</v>
      </c>
      <c r="AF34" s="27">
        <f>(1/(2*LOG(3.7*$I34/'Calculation Constants'!$B$4*1000)))^2</f>
        <v>1.1458969193927592E-2</v>
      </c>
      <c r="AG34" s="19">
        <f t="shared" si="10"/>
        <v>1.274999100520025</v>
      </c>
      <c r="AH34" s="19">
        <f>IF($H34&gt;0,'Calculation Constants'!$B$9*Hydraulics!$K34^2/2/9.81/MAX($F$4:$F$263)*$H34,"")</f>
        <v>6.098258683766869E-2</v>
      </c>
      <c r="AI34" s="19">
        <f t="shared" si="22"/>
        <v>1.3359816873576937</v>
      </c>
      <c r="AJ34" s="19">
        <f t="shared" si="11"/>
        <v>0</v>
      </c>
      <c r="AK34" s="19">
        <f t="shared" si="23"/>
        <v>28.573366252847791</v>
      </c>
      <c r="AL34" s="23">
        <f t="shared" si="12"/>
        <v>1084.9503662528477</v>
      </c>
      <c r="AM34" s="22">
        <f>(1/(2*LOG(3.7*($I34-0.008)/'Calculation Constants'!$B$5*1000)))^2</f>
        <v>1.4542845531075887E-2</v>
      </c>
      <c r="AN34" s="19">
        <f t="shared" si="24"/>
        <v>1.6249731396833385</v>
      </c>
      <c r="AO34" s="19">
        <f>IF($H34&gt;0,'Calculation Constants'!$B$9*Hydraulics!$K34^2/2/9.81/MAX($F$4:$F$263)*$H34,"")</f>
        <v>6.098258683766869E-2</v>
      </c>
      <c r="AP34" s="19">
        <f t="shared" si="25"/>
        <v>1.6859557265210072</v>
      </c>
      <c r="AQ34" s="19">
        <f t="shared" si="13"/>
        <v>0</v>
      </c>
      <c r="AR34" s="19">
        <f t="shared" si="26"/>
        <v>21.573885469577817</v>
      </c>
      <c r="AS34" s="23">
        <f t="shared" si="14"/>
        <v>1077.9508854695778</v>
      </c>
    </row>
    <row r="35" spans="5:45">
      <c r="E35" s="35" t="str">
        <f t="shared" si="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7"/>
        <v>2</v>
      </c>
      <c r="I35" s="19">
        <v>1.9</v>
      </c>
      <c r="J35" s="36">
        <f>'Flow Rate Calculations'!$B$7</f>
        <v>4.0831050228310497</v>
      </c>
      <c r="K35" s="36">
        <f t="shared" si="16"/>
        <v>1.440102709245225</v>
      </c>
      <c r="L35" s="37">
        <f>$I35*$K35/'Calculation Constants'!$B$7</f>
        <v>2421411.6350140949</v>
      </c>
      <c r="M35" s="37">
        <f t="shared" si="1"/>
        <v>59.167000000000144</v>
      </c>
      <c r="N35" s="23">
        <f t="shared" si="17"/>
        <v>37.628117006441471</v>
      </c>
      <c r="O35" s="57">
        <f t="shared" si="2"/>
        <v>59.167000000000144</v>
      </c>
      <c r="P35" s="66">
        <f>MAX(I35*1000/'Calculation Constants'!$B$14,O35*10*I35*1000/2/('Calculation Constants'!$B$12*1000*'Calculation Constants'!$B$13))</f>
        <v>11.875</v>
      </c>
      <c r="Q35" s="68">
        <f t="shared" si="3"/>
        <v>1105894.9783427313</v>
      </c>
      <c r="R35" s="27">
        <f>(1/(2*LOG(3.7*$I35/'Calculation Constants'!$B$2*1000)))^2</f>
        <v>8.6699836115820689E-3</v>
      </c>
      <c r="S35" s="19">
        <f t="shared" si="18"/>
        <v>0.96467850809376621</v>
      </c>
      <c r="T35" s="19">
        <f>IF($H35&gt;0,'Calculation Constants'!$B$9*Hydraulics!$K35^2/2/9.81/MAX($F$4:$F$263)*$H35,"")</f>
        <v>6.098258683766869E-2</v>
      </c>
      <c r="U35" s="19">
        <f t="shared" si="19"/>
        <v>1.0256610949314349</v>
      </c>
      <c r="V35" s="19">
        <f t="shared" si="4"/>
        <v>0</v>
      </c>
      <c r="W35" s="19">
        <f t="shared" si="5"/>
        <v>37.628117006441471</v>
      </c>
      <c r="X35" s="23">
        <f t="shared" si="6"/>
        <v>1090.1311170064414</v>
      </c>
      <c r="Y35" s="22">
        <f>(1/(2*LOG(3.7*$I35/'Calculation Constants'!$B$3*1000)))^2</f>
        <v>9.7303620360708887E-3</v>
      </c>
      <c r="Z35" s="19">
        <f t="shared" si="7"/>
        <v>1.0826630767363397</v>
      </c>
      <c r="AA35" s="19">
        <f>IF($H35&gt;0,'Calculation Constants'!$B$9*Hydraulics!$K35^2/2/9.81/MAX($F$4:$F$263)*$H35,"")</f>
        <v>6.098258683766869E-2</v>
      </c>
      <c r="AB35" s="19">
        <f t="shared" si="28"/>
        <v>1.1436456635740084</v>
      </c>
      <c r="AC35" s="19">
        <f t="shared" si="8"/>
        <v>0</v>
      </c>
      <c r="AD35" s="19">
        <f t="shared" si="21"/>
        <v>35.150441064945426</v>
      </c>
      <c r="AE35" s="23">
        <f t="shared" si="9"/>
        <v>1087.6534410649454</v>
      </c>
      <c r="AF35" s="27">
        <f>(1/(2*LOG(3.7*$I35/'Calculation Constants'!$B$4*1000)))^2</f>
        <v>1.1458969193927592E-2</v>
      </c>
      <c r="AG35" s="19">
        <f t="shared" si="10"/>
        <v>1.274999100520025</v>
      </c>
      <c r="AH35" s="19">
        <f>IF($H35&gt;0,'Calculation Constants'!$B$9*Hydraulics!$K35^2/2/9.81/MAX($F$4:$F$263)*$H35,"")</f>
        <v>6.098258683766869E-2</v>
      </c>
      <c r="AI35" s="19">
        <f t="shared" si="22"/>
        <v>1.3359816873576937</v>
      </c>
      <c r="AJ35" s="19">
        <f t="shared" si="11"/>
        <v>0</v>
      </c>
      <c r="AK35" s="19">
        <f t="shared" si="23"/>
        <v>31.111384565490198</v>
      </c>
      <c r="AL35" s="23">
        <f t="shared" si="12"/>
        <v>1083.6143845654901</v>
      </c>
      <c r="AM35" s="22">
        <f>(1/(2*LOG(3.7*($I35-0.008)/'Calculation Constants'!$B$5*1000)))^2</f>
        <v>1.4542845531075887E-2</v>
      </c>
      <c r="AN35" s="19">
        <f t="shared" si="24"/>
        <v>1.6249731396833385</v>
      </c>
      <c r="AO35" s="19">
        <f>IF($H35&gt;0,'Calculation Constants'!$B$9*Hydraulics!$K35^2/2/9.81/MAX($F$4:$F$263)*$H35,"")</f>
        <v>6.098258683766869E-2</v>
      </c>
      <c r="AP35" s="19">
        <f t="shared" si="25"/>
        <v>1.6859557265210072</v>
      </c>
      <c r="AQ35" s="19">
        <f t="shared" si="13"/>
        <v>0</v>
      </c>
      <c r="AR35" s="19">
        <f t="shared" si="26"/>
        <v>23.761929743056726</v>
      </c>
      <c r="AS35" s="23">
        <f t="shared" si="14"/>
        <v>1076.2649297430567</v>
      </c>
    </row>
    <row r="36" spans="5:45">
      <c r="E36" s="35" t="str">
        <f t="shared" si="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7"/>
        <v>2</v>
      </c>
      <c r="I36" s="19">
        <v>1.9</v>
      </c>
      <c r="J36" s="36">
        <f>'Flow Rate Calculations'!$B$7</f>
        <v>4.0831050228310497</v>
      </c>
      <c r="K36" s="36">
        <f t="shared" si="16"/>
        <v>1.440102709245225</v>
      </c>
      <c r="L36" s="37">
        <f>$I36*$K36/'Calculation Constants'!$B$7</f>
        <v>2421411.6350140949</v>
      </c>
      <c r="M36" s="37">
        <f t="shared" si="1"/>
        <v>65.648000000000138</v>
      </c>
      <c r="N36" s="23">
        <f t="shared" si="17"/>
        <v>43.0834559115101</v>
      </c>
      <c r="O36" s="57">
        <f t="shared" si="2"/>
        <v>65.648000000000138</v>
      </c>
      <c r="P36" s="66">
        <f>MAX(I36*1000/'Calculation Constants'!$B$14,O36*10*I36*1000/2/('Calculation Constants'!$B$12*1000*'Calculation Constants'!$B$13))</f>
        <v>11.875</v>
      </c>
      <c r="Q36" s="68">
        <f t="shared" si="3"/>
        <v>1105894.9783427313</v>
      </c>
      <c r="R36" s="27">
        <f>(1/(2*LOG(3.7*$I36/'Calculation Constants'!$B$2*1000)))^2</f>
        <v>8.6699836115820689E-3</v>
      </c>
      <c r="S36" s="19">
        <f t="shared" si="18"/>
        <v>0.96467850809376621</v>
      </c>
      <c r="T36" s="19">
        <f>IF($H36&gt;0,'Calculation Constants'!$B$9*Hydraulics!$K36^2/2/9.81/MAX($F$4:$F$263)*$H36,"")</f>
        <v>6.098258683766869E-2</v>
      </c>
      <c r="U36" s="19">
        <f t="shared" si="19"/>
        <v>1.0256610949314349</v>
      </c>
      <c r="V36" s="19">
        <f t="shared" si="4"/>
        <v>0</v>
      </c>
      <c r="W36" s="19">
        <f t="shared" si="5"/>
        <v>43.0834559115101</v>
      </c>
      <c r="X36" s="23">
        <f t="shared" si="6"/>
        <v>1089.10545591151</v>
      </c>
      <c r="Y36" s="22">
        <f>(1/(2*LOG(3.7*$I36/'Calculation Constants'!$B$3*1000)))^2</f>
        <v>9.7303620360708887E-3</v>
      </c>
      <c r="Z36" s="19">
        <f t="shared" si="7"/>
        <v>1.0826630767363397</v>
      </c>
      <c r="AA36" s="19">
        <f>IF($H36&gt;0,'Calculation Constants'!$B$9*Hydraulics!$K36^2/2/9.81/MAX($F$4:$F$263)*$H36,"")</f>
        <v>6.098258683766869E-2</v>
      </c>
      <c r="AB36" s="19">
        <f t="shared" si="28"/>
        <v>1.1436456635740084</v>
      </c>
      <c r="AC36" s="19">
        <f t="shared" si="8"/>
        <v>0</v>
      </c>
      <c r="AD36" s="19">
        <f t="shared" si="21"/>
        <v>40.487795401371386</v>
      </c>
      <c r="AE36" s="23">
        <f t="shared" si="9"/>
        <v>1086.5097954013713</v>
      </c>
      <c r="AF36" s="27">
        <f>(1/(2*LOG(3.7*$I36/'Calculation Constants'!$B$4*1000)))^2</f>
        <v>1.1458969193927592E-2</v>
      </c>
      <c r="AG36" s="19">
        <f t="shared" si="10"/>
        <v>1.274999100520025</v>
      </c>
      <c r="AH36" s="19">
        <f>IF($H36&gt;0,'Calculation Constants'!$B$9*Hydraulics!$K36^2/2/9.81/MAX($F$4:$F$263)*$H36,"")</f>
        <v>6.098258683766869E-2</v>
      </c>
      <c r="AI36" s="19">
        <f t="shared" si="22"/>
        <v>1.3359816873576937</v>
      </c>
      <c r="AJ36" s="19">
        <f t="shared" si="11"/>
        <v>0</v>
      </c>
      <c r="AK36" s="19">
        <f t="shared" si="23"/>
        <v>36.256402878132576</v>
      </c>
      <c r="AL36" s="23">
        <f t="shared" si="12"/>
        <v>1082.2784028781325</v>
      </c>
      <c r="AM36" s="22">
        <f>(1/(2*LOG(3.7*($I36-0.008)/'Calculation Constants'!$B$5*1000)))^2</f>
        <v>1.4542845531075887E-2</v>
      </c>
      <c r="AN36" s="19">
        <f t="shared" si="24"/>
        <v>1.6249731396833385</v>
      </c>
      <c r="AO36" s="19">
        <f>IF($H36&gt;0,'Calculation Constants'!$B$9*Hydraulics!$K36^2/2/9.81/MAX($F$4:$F$263)*$H36,"")</f>
        <v>6.098258683766869E-2</v>
      </c>
      <c r="AP36" s="19">
        <f t="shared" si="25"/>
        <v>1.6859557265210072</v>
      </c>
      <c r="AQ36" s="19">
        <f t="shared" si="13"/>
        <v>0</v>
      </c>
      <c r="AR36" s="19">
        <f t="shared" si="26"/>
        <v>28.556974016535605</v>
      </c>
      <c r="AS36" s="23">
        <f t="shared" si="14"/>
        <v>1074.5789740165355</v>
      </c>
    </row>
    <row r="37" spans="5:45">
      <c r="E37" s="35" t="str">
        <f t="shared" si="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7"/>
        <v>2</v>
      </c>
      <c r="I37" s="19">
        <v>1.9</v>
      </c>
      <c r="J37" s="36">
        <f>'Flow Rate Calculations'!$B$7</f>
        <v>4.0831050228310497</v>
      </c>
      <c r="K37" s="36">
        <f t="shared" si="16"/>
        <v>1.440102709245225</v>
      </c>
      <c r="L37" s="37">
        <f>$I37*$K37/'Calculation Constants'!$B$7</f>
        <v>2421411.6350140949</v>
      </c>
      <c r="M37" s="37">
        <f t="shared" si="1"/>
        <v>75.095000000000027</v>
      </c>
      <c r="N37" s="23">
        <f t="shared" si="17"/>
        <v>51.504794816578624</v>
      </c>
      <c r="O37" s="57">
        <f t="shared" si="2"/>
        <v>75.095000000000027</v>
      </c>
      <c r="P37" s="66">
        <f>MAX(I37*1000/'Calculation Constants'!$B$14,O37*10*I37*1000/2/('Calculation Constants'!$B$12*1000*'Calculation Constants'!$B$13))</f>
        <v>11.875</v>
      </c>
      <c r="Q37" s="68">
        <f t="shared" si="3"/>
        <v>1105894.9783427313</v>
      </c>
      <c r="R37" s="27">
        <f>(1/(2*LOG(3.7*$I37/'Calculation Constants'!$B$2*1000)))^2</f>
        <v>8.6699836115820689E-3</v>
      </c>
      <c r="S37" s="19">
        <f t="shared" si="18"/>
        <v>0.96467850809376621</v>
      </c>
      <c r="T37" s="19">
        <f>IF($H37&gt;0,'Calculation Constants'!$B$9*Hydraulics!$K37^2/2/9.81/MAX($F$4:$F$263)*$H37,"")</f>
        <v>6.098258683766869E-2</v>
      </c>
      <c r="U37" s="19">
        <f t="shared" si="19"/>
        <v>1.0256610949314349</v>
      </c>
      <c r="V37" s="19">
        <f t="shared" si="4"/>
        <v>0</v>
      </c>
      <c r="W37" s="19">
        <f t="shared" si="5"/>
        <v>51.504794816578624</v>
      </c>
      <c r="X37" s="23">
        <f t="shared" si="6"/>
        <v>1088.0797948165787</v>
      </c>
      <c r="Y37" s="22">
        <f>(1/(2*LOG(3.7*$I37/'Calculation Constants'!$B$3*1000)))^2</f>
        <v>9.7303620360708887E-3</v>
      </c>
      <c r="Z37" s="19">
        <f t="shared" si="7"/>
        <v>1.0826630767363397</v>
      </c>
      <c r="AA37" s="19">
        <f>IF($H37&gt;0,'Calculation Constants'!$B$9*Hydraulics!$K37^2/2/9.81/MAX($F$4:$F$263)*$H37,"")</f>
        <v>6.098258683766869E-2</v>
      </c>
      <c r="AB37" s="19">
        <f t="shared" si="28"/>
        <v>1.1436456635740084</v>
      </c>
      <c r="AC37" s="19">
        <f t="shared" si="8"/>
        <v>0</v>
      </c>
      <c r="AD37" s="19">
        <f t="shared" si="21"/>
        <v>48.791149737797241</v>
      </c>
      <c r="AE37" s="23">
        <f t="shared" si="9"/>
        <v>1085.3661497377973</v>
      </c>
      <c r="AF37" s="27">
        <f>(1/(2*LOG(3.7*$I37/'Calculation Constants'!$B$4*1000)))^2</f>
        <v>1.1458969193927592E-2</v>
      </c>
      <c r="AG37" s="19">
        <f t="shared" si="10"/>
        <v>1.274999100520025</v>
      </c>
      <c r="AH37" s="19">
        <f>IF($H37&gt;0,'Calculation Constants'!$B$9*Hydraulics!$K37^2/2/9.81/MAX($F$4:$F$263)*$H37,"")</f>
        <v>6.098258683766869E-2</v>
      </c>
      <c r="AI37" s="19">
        <f t="shared" si="22"/>
        <v>1.3359816873576937</v>
      </c>
      <c r="AJ37" s="19">
        <f t="shared" si="11"/>
        <v>0</v>
      </c>
      <c r="AK37" s="19">
        <f t="shared" si="23"/>
        <v>44.367421190774849</v>
      </c>
      <c r="AL37" s="23">
        <f t="shared" si="12"/>
        <v>1080.9424211907749</v>
      </c>
      <c r="AM37" s="22">
        <f>(1/(2*LOG(3.7*($I37-0.008)/'Calculation Constants'!$B$5*1000)))^2</f>
        <v>1.4542845531075887E-2</v>
      </c>
      <c r="AN37" s="19">
        <f t="shared" si="24"/>
        <v>1.6249731396833385</v>
      </c>
      <c r="AO37" s="19">
        <f>IF($H37&gt;0,'Calculation Constants'!$B$9*Hydraulics!$K37^2/2/9.81/MAX($F$4:$F$263)*$H37,"")</f>
        <v>6.098258683766869E-2</v>
      </c>
      <c r="AP37" s="19">
        <f t="shared" si="25"/>
        <v>1.6859557265210072</v>
      </c>
      <c r="AQ37" s="19">
        <f t="shared" si="13"/>
        <v>0</v>
      </c>
      <c r="AR37" s="19">
        <f t="shared" si="26"/>
        <v>36.318018290014379</v>
      </c>
      <c r="AS37" s="23">
        <f t="shared" si="14"/>
        <v>1072.8930182900144</v>
      </c>
    </row>
    <row r="38" spans="5:45">
      <c r="E38" s="35" t="str">
        <f t="shared" si="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7"/>
        <v>2</v>
      </c>
      <c r="I38" s="19">
        <v>1.9</v>
      </c>
      <c r="J38" s="36">
        <f>'Flow Rate Calculations'!$B$7</f>
        <v>4.0831050228310497</v>
      </c>
      <c r="K38" s="36">
        <f t="shared" si="16"/>
        <v>1.440102709245225</v>
      </c>
      <c r="L38" s="37">
        <f>$I38*$K38/'Calculation Constants'!$B$7</f>
        <v>2421411.6350140949</v>
      </c>
      <c r="M38" s="37">
        <f t="shared" si="1"/>
        <v>79.852000000000089</v>
      </c>
      <c r="N38" s="23">
        <f t="shared" si="17"/>
        <v>55.23613372164732</v>
      </c>
      <c r="O38" s="57">
        <f t="shared" si="2"/>
        <v>79.852000000000089</v>
      </c>
      <c r="P38" s="66">
        <f>MAX(I38*1000/'Calculation Constants'!$B$14,O38*10*I38*1000/2/('Calculation Constants'!$B$12*1000*'Calculation Constants'!$B$13))</f>
        <v>11.875</v>
      </c>
      <c r="Q38" s="68">
        <f t="shared" si="3"/>
        <v>1105894.9783427313</v>
      </c>
      <c r="R38" s="27">
        <f>(1/(2*LOG(3.7*$I38/'Calculation Constants'!$B$2*1000)))^2</f>
        <v>8.6699836115820689E-3</v>
      </c>
      <c r="S38" s="19">
        <f t="shared" si="18"/>
        <v>0.96467850809376621</v>
      </c>
      <c r="T38" s="19">
        <f>IF($H38&gt;0,'Calculation Constants'!$B$9*Hydraulics!$K38^2/2/9.81/MAX($F$4:$F$263)*$H38,"")</f>
        <v>6.098258683766869E-2</v>
      </c>
      <c r="U38" s="19">
        <f t="shared" si="19"/>
        <v>1.0256610949314349</v>
      </c>
      <c r="V38" s="19">
        <f t="shared" si="4"/>
        <v>0</v>
      </c>
      <c r="W38" s="19">
        <f t="shared" si="5"/>
        <v>55.23613372164732</v>
      </c>
      <c r="X38" s="23">
        <f t="shared" si="6"/>
        <v>1087.0541337216473</v>
      </c>
      <c r="Y38" s="22">
        <f>(1/(2*LOG(3.7*$I38/'Calculation Constants'!$B$3*1000)))^2</f>
        <v>9.7303620360708887E-3</v>
      </c>
      <c r="Z38" s="19">
        <f t="shared" si="7"/>
        <v>1.0826630767363397</v>
      </c>
      <c r="AA38" s="19">
        <f>IF($H38&gt;0,'Calculation Constants'!$B$9*Hydraulics!$K38^2/2/9.81/MAX($F$4:$F$263)*$H38,"")</f>
        <v>6.098258683766869E-2</v>
      </c>
      <c r="AB38" s="19">
        <f t="shared" si="28"/>
        <v>1.1436456635740084</v>
      </c>
      <c r="AC38" s="19">
        <f t="shared" si="8"/>
        <v>0</v>
      </c>
      <c r="AD38" s="19">
        <f t="shared" si="21"/>
        <v>52.404504074223269</v>
      </c>
      <c r="AE38" s="23">
        <f t="shared" si="9"/>
        <v>1084.2225040742233</v>
      </c>
      <c r="AF38" s="27">
        <f>(1/(2*LOG(3.7*$I38/'Calculation Constants'!$B$4*1000)))^2</f>
        <v>1.1458969193927592E-2</v>
      </c>
      <c r="AG38" s="19">
        <f t="shared" si="10"/>
        <v>1.274999100520025</v>
      </c>
      <c r="AH38" s="19">
        <f>IF($H38&gt;0,'Calculation Constants'!$B$9*Hydraulics!$K38^2/2/9.81/MAX($F$4:$F$263)*$H38,"")</f>
        <v>6.098258683766869E-2</v>
      </c>
      <c r="AI38" s="19">
        <f t="shared" si="22"/>
        <v>1.3359816873576937</v>
      </c>
      <c r="AJ38" s="19">
        <f t="shared" si="11"/>
        <v>0</v>
      </c>
      <c r="AK38" s="19">
        <f t="shared" si="23"/>
        <v>47.788439503417294</v>
      </c>
      <c r="AL38" s="23">
        <f t="shared" si="12"/>
        <v>1079.6064395034173</v>
      </c>
      <c r="AM38" s="22">
        <f>(1/(2*LOG(3.7*($I38-0.008)/'Calculation Constants'!$B$5*1000)))^2</f>
        <v>1.4542845531075887E-2</v>
      </c>
      <c r="AN38" s="19">
        <f t="shared" si="24"/>
        <v>1.6249731396833385</v>
      </c>
      <c r="AO38" s="19">
        <f>IF($H38&gt;0,'Calculation Constants'!$B$9*Hydraulics!$K38^2/2/9.81/MAX($F$4:$F$263)*$H38,"")</f>
        <v>6.098258683766869E-2</v>
      </c>
      <c r="AP38" s="19">
        <f t="shared" si="25"/>
        <v>1.6859557265210072</v>
      </c>
      <c r="AQ38" s="19">
        <f t="shared" si="13"/>
        <v>0</v>
      </c>
      <c r="AR38" s="19">
        <f t="shared" si="26"/>
        <v>39.389062563493326</v>
      </c>
      <c r="AS38" s="23">
        <f t="shared" si="14"/>
        <v>1071.2070625634933</v>
      </c>
    </row>
    <row r="39" spans="5:45">
      <c r="E39" s="35" t="str">
        <f t="shared" si="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7"/>
        <v>2</v>
      </c>
      <c r="I39" s="19">
        <v>1.9</v>
      </c>
      <c r="J39" s="36">
        <f>'Flow Rate Calculations'!$B$7</f>
        <v>4.0831050228310497</v>
      </c>
      <c r="K39" s="36">
        <f t="shared" si="16"/>
        <v>1.440102709245225</v>
      </c>
      <c r="L39" s="37">
        <f>$I39*$K39/'Calculation Constants'!$B$7</f>
        <v>2421411.6350140949</v>
      </c>
      <c r="M39" s="37">
        <f t="shared" si="1"/>
        <v>83.995000000000118</v>
      </c>
      <c r="N39" s="23">
        <f t="shared" si="17"/>
        <v>58.353472626715984</v>
      </c>
      <c r="O39" s="57">
        <f t="shared" si="2"/>
        <v>83.995000000000118</v>
      </c>
      <c r="P39" s="66">
        <f>MAX(I39*1000/'Calculation Constants'!$B$14,O39*10*I39*1000/2/('Calculation Constants'!$B$12*1000*'Calculation Constants'!$B$13))</f>
        <v>11.875</v>
      </c>
      <c r="Q39" s="68">
        <f t="shared" si="3"/>
        <v>1105894.9783427313</v>
      </c>
      <c r="R39" s="27">
        <f>(1/(2*LOG(3.7*$I39/'Calculation Constants'!$B$2*1000)))^2</f>
        <v>8.6699836115820689E-3</v>
      </c>
      <c r="S39" s="19">
        <f t="shared" si="18"/>
        <v>0.96467850809376621</v>
      </c>
      <c r="T39" s="19">
        <f>IF($H39&gt;0,'Calculation Constants'!$B$9*Hydraulics!$K39^2/2/9.81/MAX($F$4:$F$263)*$H39,"")</f>
        <v>6.098258683766869E-2</v>
      </c>
      <c r="U39" s="19">
        <f t="shared" si="19"/>
        <v>1.0256610949314349</v>
      </c>
      <c r="V39" s="19">
        <f t="shared" si="4"/>
        <v>0</v>
      </c>
      <c r="W39" s="19">
        <f t="shared" si="5"/>
        <v>58.353472626715984</v>
      </c>
      <c r="X39" s="23">
        <f t="shared" si="6"/>
        <v>1086.0284726267159</v>
      </c>
      <c r="Y39" s="22">
        <f>(1/(2*LOG(3.7*$I39/'Calculation Constants'!$B$3*1000)))^2</f>
        <v>9.7303620360708887E-3</v>
      </c>
      <c r="Z39" s="19">
        <f t="shared" si="7"/>
        <v>1.0826630767363397</v>
      </c>
      <c r="AA39" s="19">
        <f>IF($H39&gt;0,'Calculation Constants'!$B$9*Hydraulics!$K39^2/2/9.81/MAX($F$4:$F$263)*$H39,"")</f>
        <v>6.098258683766869E-2</v>
      </c>
      <c r="AB39" s="19">
        <f t="shared" si="28"/>
        <v>1.1436456635740084</v>
      </c>
      <c r="AC39" s="19">
        <f t="shared" si="8"/>
        <v>0</v>
      </c>
      <c r="AD39" s="19">
        <f t="shared" si="21"/>
        <v>55.403858410649264</v>
      </c>
      <c r="AE39" s="23">
        <f t="shared" si="9"/>
        <v>1083.0788584106492</v>
      </c>
      <c r="AF39" s="27">
        <f>(1/(2*LOG(3.7*$I39/'Calculation Constants'!$B$4*1000)))^2</f>
        <v>1.1458969193927592E-2</v>
      </c>
      <c r="AG39" s="19">
        <f t="shared" si="10"/>
        <v>1.274999100520025</v>
      </c>
      <c r="AH39" s="19">
        <f>IF($H39&gt;0,'Calculation Constants'!$B$9*Hydraulics!$K39^2/2/9.81/MAX($F$4:$F$263)*$H39,"")</f>
        <v>6.098258683766869E-2</v>
      </c>
      <c r="AI39" s="19">
        <f t="shared" si="22"/>
        <v>1.3359816873576937</v>
      </c>
      <c r="AJ39" s="19">
        <f t="shared" si="11"/>
        <v>0</v>
      </c>
      <c r="AK39" s="19">
        <f t="shared" si="23"/>
        <v>50.595457816059707</v>
      </c>
      <c r="AL39" s="23">
        <f t="shared" si="12"/>
        <v>1078.2704578160597</v>
      </c>
      <c r="AM39" s="22">
        <f>(1/(2*LOG(3.7*($I39-0.008)/'Calculation Constants'!$B$5*1000)))^2</f>
        <v>1.4542845531075887E-2</v>
      </c>
      <c r="AN39" s="19">
        <f t="shared" si="24"/>
        <v>1.6249731396833385</v>
      </c>
      <c r="AO39" s="19">
        <f>IF($H39&gt;0,'Calculation Constants'!$B$9*Hydraulics!$K39^2/2/9.81/MAX($F$4:$F$263)*$H39,"")</f>
        <v>6.098258683766869E-2</v>
      </c>
      <c r="AP39" s="19">
        <f t="shared" si="25"/>
        <v>1.6859557265210072</v>
      </c>
      <c r="AQ39" s="19">
        <f t="shared" si="13"/>
        <v>0</v>
      </c>
      <c r="AR39" s="19">
        <f t="shared" si="26"/>
        <v>41.84610683697224</v>
      </c>
      <c r="AS39" s="23">
        <f t="shared" si="14"/>
        <v>1069.5211068369722</v>
      </c>
    </row>
    <row r="40" spans="5:45">
      <c r="E40" s="35" t="str">
        <f t="shared" si="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7"/>
        <v>2</v>
      </c>
      <c r="I40" s="19">
        <v>1.9</v>
      </c>
      <c r="J40" s="36">
        <f>'Flow Rate Calculations'!$B$7</f>
        <v>4.0831050228310497</v>
      </c>
      <c r="K40" s="36">
        <f t="shared" si="16"/>
        <v>1.440102709245225</v>
      </c>
      <c r="L40" s="37">
        <f>$I40*$K40/'Calculation Constants'!$B$7</f>
        <v>2421411.6350140949</v>
      </c>
      <c r="M40" s="37">
        <f t="shared" si="1"/>
        <v>87.826000000000022</v>
      </c>
      <c r="N40" s="23">
        <f t="shared" si="17"/>
        <v>61.158811531784522</v>
      </c>
      <c r="O40" s="57">
        <f t="shared" si="2"/>
        <v>87.826000000000022</v>
      </c>
      <c r="P40" s="66">
        <f>MAX(I40*1000/'Calculation Constants'!$B$14,O40*10*I40*1000/2/('Calculation Constants'!$B$12*1000*'Calculation Constants'!$B$13))</f>
        <v>11.875</v>
      </c>
      <c r="Q40" s="68">
        <f t="shared" si="3"/>
        <v>1105894.9783427313</v>
      </c>
      <c r="R40" s="27">
        <f>(1/(2*LOG(3.7*$I40/'Calculation Constants'!$B$2*1000)))^2</f>
        <v>8.6699836115820689E-3</v>
      </c>
      <c r="S40" s="19">
        <f t="shared" si="18"/>
        <v>0.96467850809376621</v>
      </c>
      <c r="T40" s="19">
        <f>IF($H40&gt;0,'Calculation Constants'!$B$9*Hydraulics!$K40^2/2/9.81/MAX($F$4:$F$263)*$H40,"")</f>
        <v>6.098258683766869E-2</v>
      </c>
      <c r="U40" s="19">
        <f t="shared" si="19"/>
        <v>1.0256610949314349</v>
      </c>
      <c r="V40" s="19">
        <f t="shared" si="4"/>
        <v>0</v>
      </c>
      <c r="W40" s="19">
        <f t="shared" si="5"/>
        <v>61.158811531784522</v>
      </c>
      <c r="X40" s="23">
        <f t="shared" si="6"/>
        <v>1085.0028115317846</v>
      </c>
      <c r="Y40" s="22">
        <f>(1/(2*LOG(3.7*$I40/'Calculation Constants'!$B$3*1000)))^2</f>
        <v>9.7303620360708887E-3</v>
      </c>
      <c r="Z40" s="19">
        <f t="shared" si="7"/>
        <v>1.0826630767363397</v>
      </c>
      <c r="AA40" s="19">
        <f>IF($H40&gt;0,'Calculation Constants'!$B$9*Hydraulics!$K40^2/2/9.81/MAX($F$4:$F$263)*$H40,"")</f>
        <v>6.098258683766869E-2</v>
      </c>
      <c r="AB40" s="19">
        <f t="shared" si="28"/>
        <v>1.1436456635740084</v>
      </c>
      <c r="AC40" s="19">
        <f t="shared" si="8"/>
        <v>0</v>
      </c>
      <c r="AD40" s="19">
        <f t="shared" si="21"/>
        <v>58.091212747075133</v>
      </c>
      <c r="AE40" s="23">
        <f t="shared" si="9"/>
        <v>1081.9352127470752</v>
      </c>
      <c r="AF40" s="27">
        <f>(1/(2*LOG(3.7*$I40/'Calculation Constants'!$B$4*1000)))^2</f>
        <v>1.1458969193927592E-2</v>
      </c>
      <c r="AG40" s="19">
        <f t="shared" si="10"/>
        <v>1.274999100520025</v>
      </c>
      <c r="AH40" s="19">
        <f>IF($H40&gt;0,'Calculation Constants'!$B$9*Hydraulics!$K40^2/2/9.81/MAX($F$4:$F$263)*$H40,"")</f>
        <v>6.098258683766869E-2</v>
      </c>
      <c r="AI40" s="19">
        <f t="shared" si="22"/>
        <v>1.3359816873576937</v>
      </c>
      <c r="AJ40" s="19">
        <f t="shared" si="11"/>
        <v>0</v>
      </c>
      <c r="AK40" s="19">
        <f t="shared" si="23"/>
        <v>53.090476128701994</v>
      </c>
      <c r="AL40" s="23">
        <f t="shared" si="12"/>
        <v>1076.934476128702</v>
      </c>
      <c r="AM40" s="22">
        <f>(1/(2*LOG(3.7*($I40-0.008)/'Calculation Constants'!$B$5*1000)))^2</f>
        <v>1.4542845531075887E-2</v>
      </c>
      <c r="AN40" s="19">
        <f t="shared" si="24"/>
        <v>1.6249731396833385</v>
      </c>
      <c r="AO40" s="19">
        <f>IF($H40&gt;0,'Calculation Constants'!$B$9*Hydraulics!$K40^2/2/9.81/MAX($F$4:$F$263)*$H40,"")</f>
        <v>6.098258683766869E-2</v>
      </c>
      <c r="AP40" s="19">
        <f t="shared" si="25"/>
        <v>1.6859557265210072</v>
      </c>
      <c r="AQ40" s="19">
        <f t="shared" si="13"/>
        <v>0</v>
      </c>
      <c r="AR40" s="19">
        <f t="shared" si="26"/>
        <v>43.991151110451028</v>
      </c>
      <c r="AS40" s="23">
        <f t="shared" si="14"/>
        <v>1067.8351511104511</v>
      </c>
    </row>
    <row r="41" spans="5:45">
      <c r="E41" s="35" t="str">
        <f t="shared" si="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7"/>
        <v>2</v>
      </c>
      <c r="I41" s="19">
        <v>1.9</v>
      </c>
      <c r="J41" s="36">
        <f>'Flow Rate Calculations'!$B$7</f>
        <v>4.0831050228310497</v>
      </c>
      <c r="K41" s="36">
        <f t="shared" si="16"/>
        <v>1.440102709245225</v>
      </c>
      <c r="L41" s="37">
        <f>$I41*$K41/'Calculation Constants'!$B$7</f>
        <v>2421411.6350140949</v>
      </c>
      <c r="M41" s="37">
        <f t="shared" si="1"/>
        <v>90.782000000000039</v>
      </c>
      <c r="N41" s="23">
        <f t="shared" si="17"/>
        <v>63.089150436853174</v>
      </c>
      <c r="O41" s="57">
        <f t="shared" si="2"/>
        <v>90.782000000000039</v>
      </c>
      <c r="P41" s="66">
        <f>MAX(I41*1000/'Calculation Constants'!$B$14,O41*10*I41*1000/2/('Calculation Constants'!$B$12*1000*'Calculation Constants'!$B$13))</f>
        <v>11.875</v>
      </c>
      <c r="Q41" s="68">
        <f t="shared" si="3"/>
        <v>1105894.9783427313</v>
      </c>
      <c r="R41" s="27">
        <f>(1/(2*LOG(3.7*$I41/'Calculation Constants'!$B$2*1000)))^2</f>
        <v>8.6699836115820689E-3</v>
      </c>
      <c r="S41" s="19">
        <f t="shared" si="18"/>
        <v>0.96467850809376621</v>
      </c>
      <c r="T41" s="19">
        <f>IF($H41&gt;0,'Calculation Constants'!$B$9*Hydraulics!$K41^2/2/9.81/MAX($F$4:$F$263)*$H41,"")</f>
        <v>6.098258683766869E-2</v>
      </c>
      <c r="U41" s="19">
        <f t="shared" si="19"/>
        <v>1.0256610949314349</v>
      </c>
      <c r="V41" s="19">
        <f t="shared" si="4"/>
        <v>0</v>
      </c>
      <c r="W41" s="19">
        <f t="shared" si="5"/>
        <v>63.089150436853174</v>
      </c>
      <c r="X41" s="23">
        <f t="shared" si="6"/>
        <v>1083.9771504368532</v>
      </c>
      <c r="Y41" s="22">
        <f>(1/(2*LOG(3.7*$I41/'Calculation Constants'!$B$3*1000)))^2</f>
        <v>9.7303620360708887E-3</v>
      </c>
      <c r="Z41" s="19">
        <f t="shared" si="7"/>
        <v>1.0826630767363397</v>
      </c>
      <c r="AA41" s="19">
        <f>IF($H41&gt;0,'Calculation Constants'!$B$9*Hydraulics!$K41^2/2/9.81/MAX($F$4:$F$263)*$H41,"")</f>
        <v>6.098258683766869E-2</v>
      </c>
      <c r="AB41" s="19">
        <f t="shared" si="28"/>
        <v>1.1436456635740084</v>
      </c>
      <c r="AC41" s="19">
        <f t="shared" si="8"/>
        <v>0</v>
      </c>
      <c r="AD41" s="19">
        <f t="shared" si="21"/>
        <v>59.903567083501116</v>
      </c>
      <c r="AE41" s="23">
        <f t="shared" si="9"/>
        <v>1080.7915670835011</v>
      </c>
      <c r="AF41" s="27">
        <f>(1/(2*LOG(3.7*$I41/'Calculation Constants'!$B$4*1000)))^2</f>
        <v>1.1458969193927592E-2</v>
      </c>
      <c r="AG41" s="19">
        <f t="shared" si="10"/>
        <v>1.274999100520025</v>
      </c>
      <c r="AH41" s="19">
        <f>IF($H41&gt;0,'Calculation Constants'!$B$9*Hydraulics!$K41^2/2/9.81/MAX($F$4:$F$263)*$H41,"")</f>
        <v>6.098258683766869E-2</v>
      </c>
      <c r="AI41" s="19">
        <f t="shared" si="22"/>
        <v>1.3359816873576937</v>
      </c>
      <c r="AJ41" s="19">
        <f t="shared" si="11"/>
        <v>0</v>
      </c>
      <c r="AK41" s="19">
        <f t="shared" si="23"/>
        <v>54.710494441344395</v>
      </c>
      <c r="AL41" s="23">
        <f t="shared" si="12"/>
        <v>1075.5984944413444</v>
      </c>
      <c r="AM41" s="22">
        <f>(1/(2*LOG(3.7*($I41-0.008)/'Calculation Constants'!$B$5*1000)))^2</f>
        <v>1.4542845531075887E-2</v>
      </c>
      <c r="AN41" s="19">
        <f t="shared" si="24"/>
        <v>1.6249731396833385</v>
      </c>
      <c r="AO41" s="19">
        <f>IF($H41&gt;0,'Calculation Constants'!$B$9*Hydraulics!$K41^2/2/9.81/MAX($F$4:$F$263)*$H41,"")</f>
        <v>6.098258683766869E-2</v>
      </c>
      <c r="AP41" s="19">
        <f t="shared" si="25"/>
        <v>1.6859557265210072</v>
      </c>
      <c r="AQ41" s="19">
        <f t="shared" si="13"/>
        <v>0</v>
      </c>
      <c r="AR41" s="19">
        <f t="shared" si="26"/>
        <v>45.26119538392993</v>
      </c>
      <c r="AS41" s="23">
        <f t="shared" si="14"/>
        <v>1066.14919538393</v>
      </c>
    </row>
    <row r="42" spans="5:45">
      <c r="E42" s="35" t="str">
        <f t="shared" si="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7"/>
        <v>2</v>
      </c>
      <c r="I42" s="19">
        <v>1.9</v>
      </c>
      <c r="J42" s="36">
        <f>'Flow Rate Calculations'!$B$7</f>
        <v>4.0831050228310497</v>
      </c>
      <c r="K42" s="36">
        <f t="shared" si="16"/>
        <v>1.440102709245225</v>
      </c>
      <c r="L42" s="37">
        <f>$I42*$K42/'Calculation Constants'!$B$7</f>
        <v>2421411.6350140949</v>
      </c>
      <c r="M42" s="37">
        <f t="shared" si="1"/>
        <v>88.022000000000048</v>
      </c>
      <c r="N42" s="23">
        <f t="shared" si="17"/>
        <v>59.303489341921818</v>
      </c>
      <c r="O42" s="57">
        <f t="shared" si="2"/>
        <v>88.022000000000048</v>
      </c>
      <c r="P42" s="66">
        <f>MAX(I42*1000/'Calculation Constants'!$B$14,O42*10*I42*1000/2/('Calculation Constants'!$B$12*1000*'Calculation Constants'!$B$13))</f>
        <v>11.875</v>
      </c>
      <c r="Q42" s="68">
        <f t="shared" si="3"/>
        <v>1105894.9783427313</v>
      </c>
      <c r="R42" s="27">
        <f>(1/(2*LOG(3.7*$I42/'Calculation Constants'!$B$2*1000)))^2</f>
        <v>8.6699836115820689E-3</v>
      </c>
      <c r="S42" s="19">
        <f t="shared" si="18"/>
        <v>0.96467850809376621</v>
      </c>
      <c r="T42" s="19">
        <f>IF($H42&gt;0,'Calculation Constants'!$B$9*Hydraulics!$K42^2/2/9.81/MAX($F$4:$F$263)*$H42,"")</f>
        <v>6.098258683766869E-2</v>
      </c>
      <c r="U42" s="19">
        <f t="shared" si="19"/>
        <v>1.0256610949314349</v>
      </c>
      <c r="V42" s="19">
        <f t="shared" si="4"/>
        <v>0</v>
      </c>
      <c r="W42" s="19">
        <f t="shared" si="5"/>
        <v>59.303489341921818</v>
      </c>
      <c r="X42" s="23">
        <f t="shared" si="6"/>
        <v>1082.9514893419218</v>
      </c>
      <c r="Y42" s="22">
        <f>(1/(2*LOG(3.7*$I42/'Calculation Constants'!$B$3*1000)))^2</f>
        <v>9.7303620360708887E-3</v>
      </c>
      <c r="Z42" s="19">
        <f t="shared" si="7"/>
        <v>1.0826630767363397</v>
      </c>
      <c r="AA42" s="19">
        <f>IF($H42&gt;0,'Calculation Constants'!$B$9*Hydraulics!$K42^2/2/9.81/MAX($F$4:$F$263)*$H42,"")</f>
        <v>6.098258683766869E-2</v>
      </c>
      <c r="AB42" s="19">
        <f t="shared" si="28"/>
        <v>1.1436456635740084</v>
      </c>
      <c r="AC42" s="19">
        <f t="shared" si="8"/>
        <v>0</v>
      </c>
      <c r="AD42" s="19">
        <f t="shared" si="21"/>
        <v>55.999921419927091</v>
      </c>
      <c r="AE42" s="23">
        <f t="shared" si="9"/>
        <v>1079.6479214199271</v>
      </c>
      <c r="AF42" s="27">
        <f>(1/(2*LOG(3.7*$I42/'Calculation Constants'!$B$4*1000)))^2</f>
        <v>1.1458969193927592E-2</v>
      </c>
      <c r="AG42" s="19">
        <f t="shared" si="10"/>
        <v>1.274999100520025</v>
      </c>
      <c r="AH42" s="19">
        <f>IF($H42&gt;0,'Calculation Constants'!$B$9*Hydraulics!$K42^2/2/9.81/MAX($F$4:$F$263)*$H42,"")</f>
        <v>6.098258683766869E-2</v>
      </c>
      <c r="AI42" s="19">
        <f t="shared" si="22"/>
        <v>1.3359816873576937</v>
      </c>
      <c r="AJ42" s="19">
        <f t="shared" si="11"/>
        <v>0</v>
      </c>
      <c r="AK42" s="19">
        <f t="shared" si="23"/>
        <v>50.614512753986787</v>
      </c>
      <c r="AL42" s="23">
        <f t="shared" si="12"/>
        <v>1074.2625127539868</v>
      </c>
      <c r="AM42" s="22">
        <f>(1/(2*LOG(3.7*($I42-0.008)/'Calculation Constants'!$B$5*1000)))^2</f>
        <v>1.4542845531075887E-2</v>
      </c>
      <c r="AN42" s="19">
        <f t="shared" si="24"/>
        <v>1.6249731396833385</v>
      </c>
      <c r="AO42" s="19">
        <f>IF($H42&gt;0,'Calculation Constants'!$B$9*Hydraulics!$K42^2/2/9.81/MAX($F$4:$F$263)*$H42,"")</f>
        <v>6.098258683766869E-2</v>
      </c>
      <c r="AP42" s="19">
        <f t="shared" si="25"/>
        <v>1.6859557265210072</v>
      </c>
      <c r="AQ42" s="19">
        <f t="shared" si="13"/>
        <v>0</v>
      </c>
      <c r="AR42" s="19">
        <f t="shared" si="26"/>
        <v>40.815239657408824</v>
      </c>
      <c r="AS42" s="23">
        <f t="shared" si="14"/>
        <v>1064.4632396574088</v>
      </c>
    </row>
    <row r="43" spans="5:45">
      <c r="E43" s="35" t="str">
        <f t="shared" si="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7"/>
        <v>2</v>
      </c>
      <c r="I43" s="19">
        <v>1.9</v>
      </c>
      <c r="J43" s="36">
        <f>'Flow Rate Calculations'!$B$7</f>
        <v>4.0831050228310497</v>
      </c>
      <c r="K43" s="36">
        <f t="shared" si="16"/>
        <v>1.440102709245225</v>
      </c>
      <c r="L43" s="37">
        <f>$I43*$K43/'Calculation Constants'!$B$7</f>
        <v>2421411.6350140949</v>
      </c>
      <c r="M43" s="37">
        <f t="shared" si="1"/>
        <v>84.104000000000042</v>
      </c>
      <c r="N43" s="23">
        <f t="shared" si="17"/>
        <v>54.359828246990446</v>
      </c>
      <c r="O43" s="57">
        <f t="shared" si="2"/>
        <v>84.104000000000042</v>
      </c>
      <c r="P43" s="66">
        <f>MAX(I43*1000/'Calculation Constants'!$B$14,O43*10*I43*1000/2/('Calculation Constants'!$B$12*1000*'Calculation Constants'!$B$13))</f>
        <v>11.875</v>
      </c>
      <c r="Q43" s="68">
        <f t="shared" si="3"/>
        <v>1105894.9783427313</v>
      </c>
      <c r="R43" s="27">
        <f>(1/(2*LOG(3.7*$I43/'Calculation Constants'!$B$2*1000)))^2</f>
        <v>8.6699836115820689E-3</v>
      </c>
      <c r="S43" s="19">
        <f t="shared" si="18"/>
        <v>0.96467850809376621</v>
      </c>
      <c r="T43" s="19">
        <f>IF($H43&gt;0,'Calculation Constants'!$B$9*Hydraulics!$K43^2/2/9.81/MAX($F$4:$F$263)*$H43,"")</f>
        <v>6.098258683766869E-2</v>
      </c>
      <c r="U43" s="19">
        <f t="shared" si="19"/>
        <v>1.0256610949314349</v>
      </c>
      <c r="V43" s="19">
        <f t="shared" si="4"/>
        <v>0</v>
      </c>
      <c r="W43" s="19">
        <f t="shared" si="5"/>
        <v>54.359828246990446</v>
      </c>
      <c r="X43" s="23">
        <f t="shared" si="6"/>
        <v>1081.9258282469905</v>
      </c>
      <c r="Y43" s="22">
        <f>(1/(2*LOG(3.7*$I43/'Calculation Constants'!$B$3*1000)))^2</f>
        <v>9.7303620360708887E-3</v>
      </c>
      <c r="Z43" s="19">
        <f t="shared" si="7"/>
        <v>1.0826630767363397</v>
      </c>
      <c r="AA43" s="19">
        <f>IF($H43&gt;0,'Calculation Constants'!$B$9*Hydraulics!$K43^2/2/9.81/MAX($F$4:$F$263)*$H43,"")</f>
        <v>6.098258683766869E-2</v>
      </c>
      <c r="AB43" s="19">
        <f t="shared" si="28"/>
        <v>1.1436456635740084</v>
      </c>
      <c r="AC43" s="19">
        <f t="shared" si="8"/>
        <v>0</v>
      </c>
      <c r="AD43" s="19">
        <f t="shared" si="21"/>
        <v>50.93827575635305</v>
      </c>
      <c r="AE43" s="23">
        <f t="shared" si="9"/>
        <v>1078.5042757563531</v>
      </c>
      <c r="AF43" s="27">
        <f>(1/(2*LOG(3.7*$I43/'Calculation Constants'!$B$4*1000)))^2</f>
        <v>1.1458969193927592E-2</v>
      </c>
      <c r="AG43" s="19">
        <f t="shared" si="10"/>
        <v>1.274999100520025</v>
      </c>
      <c r="AH43" s="19">
        <f>IF($H43&gt;0,'Calculation Constants'!$B$9*Hydraulics!$K43^2/2/9.81/MAX($F$4:$F$263)*$H43,"")</f>
        <v>6.098258683766869E-2</v>
      </c>
      <c r="AI43" s="19">
        <f t="shared" si="22"/>
        <v>1.3359816873576937</v>
      </c>
      <c r="AJ43" s="19">
        <f t="shared" si="11"/>
        <v>0</v>
      </c>
      <c r="AK43" s="19">
        <f t="shared" si="23"/>
        <v>45.360531066629164</v>
      </c>
      <c r="AL43" s="23">
        <f t="shared" si="12"/>
        <v>1072.9265310666292</v>
      </c>
      <c r="AM43" s="22">
        <f>(1/(2*LOG(3.7*($I43-0.008)/'Calculation Constants'!$B$5*1000)))^2</f>
        <v>1.4542845531075887E-2</v>
      </c>
      <c r="AN43" s="19">
        <f t="shared" si="24"/>
        <v>1.6249731396833385</v>
      </c>
      <c r="AO43" s="19">
        <f>IF($H43&gt;0,'Calculation Constants'!$B$9*Hydraulics!$K43^2/2/9.81/MAX($F$4:$F$263)*$H43,"")</f>
        <v>6.098258683766869E-2</v>
      </c>
      <c r="AP43" s="19">
        <f t="shared" si="25"/>
        <v>1.6859557265210072</v>
      </c>
      <c r="AQ43" s="19">
        <f t="shared" si="13"/>
        <v>0</v>
      </c>
      <c r="AR43" s="19">
        <f t="shared" si="26"/>
        <v>35.211283930887703</v>
      </c>
      <c r="AS43" s="23">
        <f t="shared" si="14"/>
        <v>1062.7772839308877</v>
      </c>
    </row>
    <row r="44" spans="5:45">
      <c r="E44" s="35" t="str">
        <f t="shared" si="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7"/>
        <v>2</v>
      </c>
      <c r="I44" s="19">
        <v>1.9</v>
      </c>
      <c r="J44" s="36">
        <f>'Flow Rate Calculations'!$B$7</f>
        <v>4.0831050228310497</v>
      </c>
      <c r="K44" s="36">
        <f t="shared" si="16"/>
        <v>1.440102709245225</v>
      </c>
      <c r="L44" s="37">
        <f>$I44*$K44/'Calculation Constants'!$B$7</f>
        <v>2421411.6350140949</v>
      </c>
      <c r="M44" s="37">
        <f t="shared" si="1"/>
        <v>79.298999999999978</v>
      </c>
      <c r="N44" s="23">
        <f t="shared" si="17"/>
        <v>48.529167152059017</v>
      </c>
      <c r="O44" s="57">
        <f t="shared" si="2"/>
        <v>79.298999999999978</v>
      </c>
      <c r="P44" s="66">
        <f>MAX(I44*1000/'Calculation Constants'!$B$14,O44*10*I44*1000/2/('Calculation Constants'!$B$12*1000*'Calculation Constants'!$B$13))</f>
        <v>11.875</v>
      </c>
      <c r="Q44" s="68">
        <f t="shared" si="3"/>
        <v>1105894.9783427313</v>
      </c>
      <c r="R44" s="27">
        <f>(1/(2*LOG(3.7*$I44/'Calculation Constants'!$B$2*1000)))^2</f>
        <v>8.6699836115820689E-3</v>
      </c>
      <c r="S44" s="19">
        <f t="shared" si="18"/>
        <v>0.96467850809376621</v>
      </c>
      <c r="T44" s="19">
        <f>IF($H44&gt;0,'Calculation Constants'!$B$9*Hydraulics!$K44^2/2/9.81/MAX($F$4:$F$263)*$H44,"")</f>
        <v>6.098258683766869E-2</v>
      </c>
      <c r="U44" s="19">
        <f t="shared" si="19"/>
        <v>1.0256610949314349</v>
      </c>
      <c r="V44" s="19">
        <f t="shared" si="4"/>
        <v>0</v>
      </c>
      <c r="W44" s="19">
        <f t="shared" si="5"/>
        <v>48.529167152059017</v>
      </c>
      <c r="X44" s="23">
        <f t="shared" si="6"/>
        <v>1080.9001671520591</v>
      </c>
      <c r="Y44" s="22">
        <f>(1/(2*LOG(3.7*$I44/'Calculation Constants'!$B$3*1000)))^2</f>
        <v>9.7303620360708887E-3</v>
      </c>
      <c r="Z44" s="19">
        <f t="shared" si="7"/>
        <v>1.0826630767363397</v>
      </c>
      <c r="AA44" s="19">
        <f>IF($H44&gt;0,'Calculation Constants'!$B$9*Hydraulics!$K44^2/2/9.81/MAX($F$4:$F$263)*$H44,"")</f>
        <v>6.098258683766869E-2</v>
      </c>
      <c r="AB44" s="19">
        <f t="shared" si="28"/>
        <v>1.1436456635740084</v>
      </c>
      <c r="AC44" s="19">
        <f t="shared" si="8"/>
        <v>0</v>
      </c>
      <c r="AD44" s="19">
        <f t="shared" si="21"/>
        <v>44.989630092778953</v>
      </c>
      <c r="AE44" s="23">
        <f t="shared" si="9"/>
        <v>1077.360630092779</v>
      </c>
      <c r="AF44" s="27">
        <f>(1/(2*LOG(3.7*$I44/'Calculation Constants'!$B$4*1000)))^2</f>
        <v>1.1458969193927592E-2</v>
      </c>
      <c r="AG44" s="19">
        <f t="shared" si="10"/>
        <v>1.274999100520025</v>
      </c>
      <c r="AH44" s="19">
        <f>IF($H44&gt;0,'Calculation Constants'!$B$9*Hydraulics!$K44^2/2/9.81/MAX($F$4:$F$263)*$H44,"")</f>
        <v>6.098258683766869E-2</v>
      </c>
      <c r="AI44" s="19">
        <f t="shared" si="22"/>
        <v>1.3359816873576937</v>
      </c>
      <c r="AJ44" s="19">
        <f t="shared" si="11"/>
        <v>0</v>
      </c>
      <c r="AK44" s="19">
        <f t="shared" si="23"/>
        <v>39.219549379271484</v>
      </c>
      <c r="AL44" s="23">
        <f t="shared" si="12"/>
        <v>1071.5905493792716</v>
      </c>
      <c r="AM44" s="22">
        <f>(1/(2*LOG(3.7*($I44-0.008)/'Calculation Constants'!$B$5*1000)))^2</f>
        <v>1.4542845531075887E-2</v>
      </c>
      <c r="AN44" s="19">
        <f t="shared" si="24"/>
        <v>1.6249731396833385</v>
      </c>
      <c r="AO44" s="19">
        <f>IF($H44&gt;0,'Calculation Constants'!$B$9*Hydraulics!$K44^2/2/9.81/MAX($F$4:$F$263)*$H44,"")</f>
        <v>6.098258683766869E-2</v>
      </c>
      <c r="AP44" s="19">
        <f t="shared" si="25"/>
        <v>1.6859557265210072</v>
      </c>
      <c r="AQ44" s="19">
        <f t="shared" si="13"/>
        <v>0</v>
      </c>
      <c r="AR44" s="19">
        <f t="shared" si="26"/>
        <v>28.720328204366524</v>
      </c>
      <c r="AS44" s="23">
        <f t="shared" si="14"/>
        <v>1061.0913282043666</v>
      </c>
    </row>
    <row r="45" spans="5:45">
      <c r="E45" s="35" t="str">
        <f t="shared" si="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7"/>
        <v>2</v>
      </c>
      <c r="I45" s="19">
        <v>1.9</v>
      </c>
      <c r="J45" s="36">
        <f>'Flow Rate Calculations'!$B$7</f>
        <v>4.0831050228310497</v>
      </c>
      <c r="K45" s="36">
        <f t="shared" si="16"/>
        <v>1.440102709245225</v>
      </c>
      <c r="L45" s="37">
        <f>$I45*$K45/'Calculation Constants'!$B$7</f>
        <v>2421411.6350140949</v>
      </c>
      <c r="M45" s="37">
        <f t="shared" si="1"/>
        <v>76.687000000000126</v>
      </c>
      <c r="N45" s="23">
        <f t="shared" si="17"/>
        <v>44.891506057127799</v>
      </c>
      <c r="O45" s="57">
        <f t="shared" si="2"/>
        <v>76.687000000000126</v>
      </c>
      <c r="P45" s="66">
        <f>MAX(I45*1000/'Calculation Constants'!$B$14,O45*10*I45*1000/2/('Calculation Constants'!$B$12*1000*'Calculation Constants'!$B$13))</f>
        <v>11.875</v>
      </c>
      <c r="Q45" s="68">
        <f t="shared" si="3"/>
        <v>1105894.9783427313</v>
      </c>
      <c r="R45" s="27">
        <f>(1/(2*LOG(3.7*$I45/'Calculation Constants'!$B$2*1000)))^2</f>
        <v>8.6699836115820689E-3</v>
      </c>
      <c r="S45" s="19">
        <f t="shared" si="18"/>
        <v>0.96467850809376621</v>
      </c>
      <c r="T45" s="19">
        <f>IF($H45&gt;0,'Calculation Constants'!$B$9*Hydraulics!$K45^2/2/9.81/MAX($F$4:$F$263)*$H45,"")</f>
        <v>6.098258683766869E-2</v>
      </c>
      <c r="U45" s="19">
        <f t="shared" si="19"/>
        <v>1.0256610949314349</v>
      </c>
      <c r="V45" s="19">
        <f t="shared" si="4"/>
        <v>0</v>
      </c>
      <c r="W45" s="19">
        <f t="shared" si="5"/>
        <v>44.891506057127799</v>
      </c>
      <c r="X45" s="23">
        <f t="shared" si="6"/>
        <v>1079.8745060571277</v>
      </c>
      <c r="Y45" s="22">
        <f>(1/(2*LOG(3.7*$I45/'Calculation Constants'!$B$3*1000)))^2</f>
        <v>9.7303620360708887E-3</v>
      </c>
      <c r="Z45" s="19">
        <f t="shared" si="7"/>
        <v>1.0826630767363397</v>
      </c>
      <c r="AA45" s="19">
        <f>IF($H45&gt;0,'Calculation Constants'!$B$9*Hydraulics!$K45^2/2/9.81/MAX($F$4:$F$263)*$H45,"")</f>
        <v>6.098258683766869E-2</v>
      </c>
      <c r="AB45" s="19">
        <f t="shared" si="28"/>
        <v>1.1436456635740084</v>
      </c>
      <c r="AC45" s="19">
        <f t="shared" si="8"/>
        <v>0</v>
      </c>
      <c r="AD45" s="19">
        <f t="shared" si="21"/>
        <v>41.233984429205066</v>
      </c>
      <c r="AE45" s="23">
        <f t="shared" si="9"/>
        <v>1076.216984429205</v>
      </c>
      <c r="AF45" s="27">
        <f>(1/(2*LOG(3.7*$I45/'Calculation Constants'!$B$4*1000)))^2</f>
        <v>1.1458969193927592E-2</v>
      </c>
      <c r="AG45" s="19">
        <f t="shared" si="10"/>
        <v>1.274999100520025</v>
      </c>
      <c r="AH45" s="19">
        <f>IF($H45&gt;0,'Calculation Constants'!$B$9*Hydraulics!$K45^2/2/9.81/MAX($F$4:$F$263)*$H45,"")</f>
        <v>6.098258683766869E-2</v>
      </c>
      <c r="AI45" s="19">
        <f t="shared" si="22"/>
        <v>1.3359816873576937</v>
      </c>
      <c r="AJ45" s="19">
        <f t="shared" si="11"/>
        <v>0</v>
      </c>
      <c r="AK45" s="19">
        <f t="shared" si="23"/>
        <v>35.271567691914015</v>
      </c>
      <c r="AL45" s="23">
        <f t="shared" si="12"/>
        <v>1070.254567691914</v>
      </c>
      <c r="AM45" s="22">
        <f>(1/(2*LOG(3.7*($I45-0.008)/'Calculation Constants'!$B$5*1000)))^2</f>
        <v>1.4542845531075887E-2</v>
      </c>
      <c r="AN45" s="19">
        <f t="shared" si="24"/>
        <v>1.6249731396833385</v>
      </c>
      <c r="AO45" s="19">
        <f>IF($H45&gt;0,'Calculation Constants'!$B$9*Hydraulics!$K45^2/2/9.81/MAX($F$4:$F$263)*$H45,"")</f>
        <v>6.098258683766869E-2</v>
      </c>
      <c r="AP45" s="19">
        <f t="shared" si="25"/>
        <v>1.6859557265210072</v>
      </c>
      <c r="AQ45" s="19">
        <f t="shared" si="13"/>
        <v>0</v>
      </c>
      <c r="AR45" s="19">
        <f t="shared" si="26"/>
        <v>24.422372477845556</v>
      </c>
      <c r="AS45" s="23">
        <f t="shared" si="14"/>
        <v>1059.4053724778455</v>
      </c>
    </row>
    <row r="46" spans="5:45">
      <c r="E46" s="35" t="str">
        <f t="shared" si="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7"/>
        <v>2</v>
      </c>
      <c r="I46" s="19">
        <v>1.9</v>
      </c>
      <c r="J46" s="36">
        <f>'Flow Rate Calculations'!$B$7</f>
        <v>4.0831050228310497</v>
      </c>
      <c r="K46" s="36">
        <f t="shared" si="16"/>
        <v>1.440102709245225</v>
      </c>
      <c r="L46" s="37">
        <f>$I46*$K46/'Calculation Constants'!$B$7</f>
        <v>2421411.6350140949</v>
      </c>
      <c r="M46" s="37">
        <f t="shared" si="1"/>
        <v>78.457000000000107</v>
      </c>
      <c r="N46" s="23">
        <f t="shared" si="17"/>
        <v>45.635844962196416</v>
      </c>
      <c r="O46" s="57">
        <f t="shared" si="2"/>
        <v>78.457000000000107</v>
      </c>
      <c r="P46" s="66">
        <f>MAX(I46*1000/'Calculation Constants'!$B$14,O46*10*I46*1000/2/('Calculation Constants'!$B$12*1000*'Calculation Constants'!$B$13))</f>
        <v>11.875</v>
      </c>
      <c r="Q46" s="68">
        <f t="shared" si="3"/>
        <v>1105894.9783427313</v>
      </c>
      <c r="R46" s="27">
        <f>(1/(2*LOG(3.7*$I46/'Calculation Constants'!$B$2*1000)))^2</f>
        <v>8.6699836115820689E-3</v>
      </c>
      <c r="S46" s="19">
        <f t="shared" si="18"/>
        <v>0.96467850809376621</v>
      </c>
      <c r="T46" s="19">
        <f>IF($H46&gt;0,'Calculation Constants'!$B$9*Hydraulics!$K46^2/2/9.81/MAX($F$4:$F$263)*$H46,"")</f>
        <v>6.098258683766869E-2</v>
      </c>
      <c r="U46" s="19">
        <f t="shared" si="19"/>
        <v>1.0256610949314349</v>
      </c>
      <c r="V46" s="19">
        <f t="shared" si="4"/>
        <v>0</v>
      </c>
      <c r="W46" s="19">
        <f t="shared" si="5"/>
        <v>45.635844962196416</v>
      </c>
      <c r="X46" s="23">
        <f t="shared" si="6"/>
        <v>1078.8488449621964</v>
      </c>
      <c r="Y46" s="22">
        <f>(1/(2*LOG(3.7*$I46/'Calculation Constants'!$B$3*1000)))^2</f>
        <v>9.7303620360708887E-3</v>
      </c>
      <c r="Z46" s="19">
        <f t="shared" si="7"/>
        <v>1.0826630767363397</v>
      </c>
      <c r="AA46" s="19">
        <f>IF($H46&gt;0,'Calculation Constants'!$B$9*Hydraulics!$K46^2/2/9.81/MAX($F$4:$F$263)*$H46,"")</f>
        <v>6.098258683766869E-2</v>
      </c>
      <c r="AB46" s="19">
        <f t="shared" si="28"/>
        <v>1.1436456635740084</v>
      </c>
      <c r="AC46" s="19">
        <f t="shared" si="8"/>
        <v>0</v>
      </c>
      <c r="AD46" s="19">
        <f t="shared" si="21"/>
        <v>41.860338765631013</v>
      </c>
      <c r="AE46" s="23">
        <f t="shared" si="9"/>
        <v>1075.073338765631</v>
      </c>
      <c r="AF46" s="27">
        <f>(1/(2*LOG(3.7*$I46/'Calculation Constants'!$B$4*1000)))^2</f>
        <v>1.1458969193927592E-2</v>
      </c>
      <c r="AG46" s="19">
        <f t="shared" si="10"/>
        <v>1.274999100520025</v>
      </c>
      <c r="AH46" s="19">
        <f>IF($H46&gt;0,'Calculation Constants'!$B$9*Hydraulics!$K46^2/2/9.81/MAX($F$4:$F$263)*$H46,"")</f>
        <v>6.098258683766869E-2</v>
      </c>
      <c r="AI46" s="19">
        <f t="shared" si="22"/>
        <v>1.3359816873576937</v>
      </c>
      <c r="AJ46" s="19">
        <f t="shared" si="11"/>
        <v>0</v>
      </c>
      <c r="AK46" s="19">
        <f t="shared" si="23"/>
        <v>35.70558600455638</v>
      </c>
      <c r="AL46" s="23">
        <f t="shared" si="12"/>
        <v>1068.9185860045563</v>
      </c>
      <c r="AM46" s="22">
        <f>(1/(2*LOG(3.7*($I46-0.008)/'Calculation Constants'!$B$5*1000)))^2</f>
        <v>1.4542845531075887E-2</v>
      </c>
      <c r="AN46" s="19">
        <f t="shared" si="24"/>
        <v>1.6249731396833385</v>
      </c>
      <c r="AO46" s="19">
        <f>IF($H46&gt;0,'Calculation Constants'!$B$9*Hydraulics!$K46^2/2/9.81/MAX($F$4:$F$263)*$H46,"")</f>
        <v>6.098258683766869E-2</v>
      </c>
      <c r="AP46" s="19">
        <f t="shared" si="25"/>
        <v>1.6859557265210072</v>
      </c>
      <c r="AQ46" s="19">
        <f t="shared" si="13"/>
        <v>0</v>
      </c>
      <c r="AR46" s="19">
        <f t="shared" si="26"/>
        <v>24.506416751324423</v>
      </c>
      <c r="AS46" s="23">
        <f t="shared" si="14"/>
        <v>1057.7194167513244</v>
      </c>
    </row>
    <row r="47" spans="5:45">
      <c r="E47" s="35" t="str">
        <f t="shared" si="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7"/>
        <v>2</v>
      </c>
      <c r="I47" s="19">
        <v>1.9</v>
      </c>
      <c r="J47" s="36">
        <f>'Flow Rate Calculations'!$B$7</f>
        <v>4.0831050228310497</v>
      </c>
      <c r="K47" s="36">
        <f t="shared" si="16"/>
        <v>1.440102709245225</v>
      </c>
      <c r="L47" s="37">
        <f>$I47*$K47/'Calculation Constants'!$B$7</f>
        <v>2421411.6350140949</v>
      </c>
      <c r="M47" s="37">
        <f t="shared" si="1"/>
        <v>80.481999999999971</v>
      </c>
      <c r="N47" s="23">
        <f t="shared" si="17"/>
        <v>46.635183867264914</v>
      </c>
      <c r="O47" s="57">
        <f t="shared" si="2"/>
        <v>80.481999999999971</v>
      </c>
      <c r="P47" s="66">
        <f>MAX(I47*1000/'Calculation Constants'!$B$14,O47*10*I47*1000/2/('Calculation Constants'!$B$12*1000*'Calculation Constants'!$B$13))</f>
        <v>11.875</v>
      </c>
      <c r="Q47" s="68">
        <f t="shared" si="3"/>
        <v>1105894.9783427313</v>
      </c>
      <c r="R47" s="27">
        <f>(1/(2*LOG(3.7*$I47/'Calculation Constants'!$B$2*1000)))^2</f>
        <v>8.6699836115820689E-3</v>
      </c>
      <c r="S47" s="19">
        <f t="shared" si="18"/>
        <v>0.96467850809376621</v>
      </c>
      <c r="T47" s="19">
        <f>IF($H47&gt;0,'Calculation Constants'!$B$9*Hydraulics!$K47^2/2/9.81/MAX($F$4:$F$263)*$H47,"")</f>
        <v>6.098258683766869E-2</v>
      </c>
      <c r="U47" s="19">
        <f t="shared" si="19"/>
        <v>1.0256610949314349</v>
      </c>
      <c r="V47" s="19">
        <f t="shared" si="4"/>
        <v>0</v>
      </c>
      <c r="W47" s="19">
        <f t="shared" si="5"/>
        <v>46.635183867264914</v>
      </c>
      <c r="X47" s="23">
        <f t="shared" si="6"/>
        <v>1077.823183867265</v>
      </c>
      <c r="Y47" s="22">
        <f>(1/(2*LOG(3.7*$I47/'Calculation Constants'!$B$3*1000)))^2</f>
        <v>9.7303620360708887E-3</v>
      </c>
      <c r="Z47" s="19">
        <f t="shared" si="7"/>
        <v>1.0826630767363397</v>
      </c>
      <c r="AA47" s="19">
        <f>IF($H47&gt;0,'Calculation Constants'!$B$9*Hydraulics!$K47^2/2/9.81/MAX($F$4:$F$263)*$H47,"")</f>
        <v>6.098258683766869E-2</v>
      </c>
      <c r="AB47" s="19">
        <f t="shared" si="28"/>
        <v>1.1436456635740084</v>
      </c>
      <c r="AC47" s="19">
        <f t="shared" si="8"/>
        <v>0</v>
      </c>
      <c r="AD47" s="19">
        <f t="shared" si="21"/>
        <v>42.741693102056843</v>
      </c>
      <c r="AE47" s="23">
        <f t="shared" si="9"/>
        <v>1073.9296931020569</v>
      </c>
      <c r="AF47" s="27">
        <f>(1/(2*LOG(3.7*$I47/'Calculation Constants'!$B$4*1000)))^2</f>
        <v>1.1458969193927592E-2</v>
      </c>
      <c r="AG47" s="19">
        <f t="shared" si="10"/>
        <v>1.274999100520025</v>
      </c>
      <c r="AH47" s="19">
        <f>IF($H47&gt;0,'Calculation Constants'!$B$9*Hydraulics!$K47^2/2/9.81/MAX($F$4:$F$263)*$H47,"")</f>
        <v>6.098258683766869E-2</v>
      </c>
      <c r="AI47" s="19">
        <f t="shared" si="22"/>
        <v>1.3359816873576937</v>
      </c>
      <c r="AJ47" s="19">
        <f t="shared" si="11"/>
        <v>0</v>
      </c>
      <c r="AK47" s="19">
        <f t="shared" si="23"/>
        <v>36.394604317198628</v>
      </c>
      <c r="AL47" s="23">
        <f t="shared" si="12"/>
        <v>1067.5826043171987</v>
      </c>
      <c r="AM47" s="22">
        <f>(1/(2*LOG(3.7*($I47-0.008)/'Calculation Constants'!$B$5*1000)))^2</f>
        <v>1.4542845531075887E-2</v>
      </c>
      <c r="AN47" s="19">
        <f t="shared" si="24"/>
        <v>1.6249731396833385</v>
      </c>
      <c r="AO47" s="19">
        <f>IF($H47&gt;0,'Calculation Constants'!$B$9*Hydraulics!$K47^2/2/9.81/MAX($F$4:$F$263)*$H47,"")</f>
        <v>6.098258683766869E-2</v>
      </c>
      <c r="AP47" s="19">
        <f t="shared" si="25"/>
        <v>1.6859557265210072</v>
      </c>
      <c r="AQ47" s="19">
        <f t="shared" si="13"/>
        <v>0</v>
      </c>
      <c r="AR47" s="19">
        <f t="shared" si="26"/>
        <v>24.845461024803171</v>
      </c>
      <c r="AS47" s="23">
        <f t="shared" si="14"/>
        <v>1056.0334610248033</v>
      </c>
    </row>
    <row r="48" spans="5:45">
      <c r="E48" s="35" t="str">
        <f t="shared" si="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7"/>
        <v>2</v>
      </c>
      <c r="I48" s="19">
        <v>1.9</v>
      </c>
      <c r="J48" s="36">
        <f>'Flow Rate Calculations'!$B$7</f>
        <v>4.0831050228310497</v>
      </c>
      <c r="K48" s="36">
        <f t="shared" si="16"/>
        <v>1.440102709245225</v>
      </c>
      <c r="L48" s="37">
        <f>$I48*$K48/'Calculation Constants'!$B$7</f>
        <v>2421411.6350140949</v>
      </c>
      <c r="M48" s="37">
        <f t="shared" si="1"/>
        <v>82.590000000000146</v>
      </c>
      <c r="N48" s="23">
        <f t="shared" si="17"/>
        <v>47.717522772333723</v>
      </c>
      <c r="O48" s="57">
        <f t="shared" si="2"/>
        <v>82.590000000000146</v>
      </c>
      <c r="P48" s="66">
        <f>MAX(I48*1000/'Calculation Constants'!$B$14,O48*10*I48*1000/2/('Calculation Constants'!$B$12*1000*'Calculation Constants'!$B$13))</f>
        <v>11.875</v>
      </c>
      <c r="Q48" s="68">
        <f t="shared" si="3"/>
        <v>1105894.9783427313</v>
      </c>
      <c r="R48" s="27">
        <f>(1/(2*LOG(3.7*$I48/'Calculation Constants'!$B$2*1000)))^2</f>
        <v>8.6699836115820689E-3</v>
      </c>
      <c r="S48" s="19">
        <f t="shared" si="18"/>
        <v>0.96467850809376621</v>
      </c>
      <c r="T48" s="19">
        <f>IF($H48&gt;0,'Calculation Constants'!$B$9*Hydraulics!$K48^2/2/9.81/MAX($F$4:$F$263)*$H48,"")</f>
        <v>6.098258683766869E-2</v>
      </c>
      <c r="U48" s="19">
        <f t="shared" si="19"/>
        <v>1.0256610949314349</v>
      </c>
      <c r="V48" s="19">
        <f t="shared" si="4"/>
        <v>0</v>
      </c>
      <c r="W48" s="19">
        <f t="shared" si="5"/>
        <v>47.717522772333723</v>
      </c>
      <c r="X48" s="23">
        <f t="shared" si="6"/>
        <v>1076.7975227723337</v>
      </c>
      <c r="Y48" s="22">
        <f>(1/(2*LOG(3.7*$I48/'Calculation Constants'!$B$3*1000)))^2</f>
        <v>9.7303620360708887E-3</v>
      </c>
      <c r="Z48" s="19">
        <f t="shared" si="7"/>
        <v>1.0826630767363397</v>
      </c>
      <c r="AA48" s="19">
        <f>IF($H48&gt;0,'Calculation Constants'!$B$9*Hydraulics!$K48^2/2/9.81/MAX($F$4:$F$263)*$H48,"")</f>
        <v>6.098258683766869E-2</v>
      </c>
      <c r="AB48" s="19">
        <f t="shared" si="28"/>
        <v>1.1436456635740084</v>
      </c>
      <c r="AC48" s="19">
        <f t="shared" si="8"/>
        <v>0</v>
      </c>
      <c r="AD48" s="19">
        <f t="shared" si="21"/>
        <v>43.706047438482983</v>
      </c>
      <c r="AE48" s="23">
        <f t="shared" si="9"/>
        <v>1072.7860474384829</v>
      </c>
      <c r="AF48" s="27">
        <f>(1/(2*LOG(3.7*$I48/'Calculation Constants'!$B$4*1000)))^2</f>
        <v>1.1458969193927592E-2</v>
      </c>
      <c r="AG48" s="19">
        <f t="shared" si="10"/>
        <v>1.274999100520025</v>
      </c>
      <c r="AH48" s="19">
        <f>IF($H48&gt;0,'Calculation Constants'!$B$9*Hydraulics!$K48^2/2/9.81/MAX($F$4:$F$263)*$H48,"")</f>
        <v>6.098258683766869E-2</v>
      </c>
      <c r="AI48" s="19">
        <f t="shared" si="22"/>
        <v>1.3359816873576937</v>
      </c>
      <c r="AJ48" s="19">
        <f t="shared" si="11"/>
        <v>0</v>
      </c>
      <c r="AK48" s="19">
        <f t="shared" si="23"/>
        <v>37.166622629841186</v>
      </c>
      <c r="AL48" s="23">
        <f t="shared" si="12"/>
        <v>1066.2466226298411</v>
      </c>
      <c r="AM48" s="22">
        <f>(1/(2*LOG(3.7*($I48-0.008)/'Calculation Constants'!$B$5*1000)))^2</f>
        <v>1.4542845531075887E-2</v>
      </c>
      <c r="AN48" s="19">
        <f t="shared" si="24"/>
        <v>1.6249731396833385</v>
      </c>
      <c r="AO48" s="19">
        <f>IF($H48&gt;0,'Calculation Constants'!$B$9*Hydraulics!$K48^2/2/9.81/MAX($F$4:$F$263)*$H48,"")</f>
        <v>6.098258683766869E-2</v>
      </c>
      <c r="AP48" s="19">
        <f t="shared" si="25"/>
        <v>1.6859557265210072</v>
      </c>
      <c r="AQ48" s="19">
        <f t="shared" si="13"/>
        <v>0</v>
      </c>
      <c r="AR48" s="19">
        <f t="shared" si="26"/>
        <v>25.267505298282231</v>
      </c>
      <c r="AS48" s="23">
        <f t="shared" si="14"/>
        <v>1054.3475052982822</v>
      </c>
    </row>
    <row r="49" spans="5:45">
      <c r="E49" s="35" t="str">
        <f t="shared" si="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7"/>
        <v>2</v>
      </c>
      <c r="I49" s="19">
        <v>1.9</v>
      </c>
      <c r="J49" s="36">
        <f>'Flow Rate Calculations'!$B$7</f>
        <v>4.0831050228310497</v>
      </c>
      <c r="K49" s="36">
        <f t="shared" si="16"/>
        <v>1.440102709245225</v>
      </c>
      <c r="L49" s="37">
        <f>$I49*$K49/'Calculation Constants'!$B$7</f>
        <v>2421411.6350140949</v>
      </c>
      <c r="M49" s="37">
        <f t="shared" si="1"/>
        <v>85.348000000000184</v>
      </c>
      <c r="N49" s="23">
        <f t="shared" si="17"/>
        <v>49.449861677402396</v>
      </c>
      <c r="O49" s="57">
        <f t="shared" si="2"/>
        <v>85.348000000000184</v>
      </c>
      <c r="P49" s="66">
        <f>MAX(I49*1000/'Calculation Constants'!$B$14,O49*10*I49*1000/2/('Calculation Constants'!$B$12*1000*'Calculation Constants'!$B$13))</f>
        <v>11.875</v>
      </c>
      <c r="Q49" s="68">
        <f t="shared" si="3"/>
        <v>1105894.9783427313</v>
      </c>
      <c r="R49" s="27">
        <f>(1/(2*LOG(3.7*$I49/'Calculation Constants'!$B$2*1000)))^2</f>
        <v>8.6699836115820689E-3</v>
      </c>
      <c r="S49" s="19">
        <f t="shared" si="18"/>
        <v>0.96467850809376621</v>
      </c>
      <c r="T49" s="19">
        <f>IF($H49&gt;0,'Calculation Constants'!$B$9*Hydraulics!$K49^2/2/9.81/MAX($F$4:$F$263)*$H49,"")</f>
        <v>6.098258683766869E-2</v>
      </c>
      <c r="U49" s="19">
        <f t="shared" si="19"/>
        <v>1.0256610949314349</v>
      </c>
      <c r="V49" s="19">
        <f t="shared" si="4"/>
        <v>0</v>
      </c>
      <c r="W49" s="19">
        <f t="shared" si="5"/>
        <v>49.449861677402396</v>
      </c>
      <c r="X49" s="23">
        <f t="shared" si="6"/>
        <v>1075.7718616774023</v>
      </c>
      <c r="Y49" s="22">
        <f>(1/(2*LOG(3.7*$I49/'Calculation Constants'!$B$3*1000)))^2</f>
        <v>9.7303620360708887E-3</v>
      </c>
      <c r="Z49" s="19">
        <f t="shared" si="7"/>
        <v>1.0826630767363397</v>
      </c>
      <c r="AA49" s="19">
        <f>IF($H49&gt;0,'Calculation Constants'!$B$9*Hydraulics!$K49^2/2/9.81/MAX($F$4:$F$263)*$H49,"")</f>
        <v>6.098258683766869E-2</v>
      </c>
      <c r="AB49" s="19">
        <f t="shared" si="28"/>
        <v>1.1436456635740084</v>
      </c>
      <c r="AC49" s="19">
        <f t="shared" si="8"/>
        <v>0</v>
      </c>
      <c r="AD49" s="19">
        <f t="shared" si="21"/>
        <v>45.320401774908987</v>
      </c>
      <c r="AE49" s="23">
        <f t="shared" si="9"/>
        <v>1071.6424017749089</v>
      </c>
      <c r="AF49" s="27">
        <f>(1/(2*LOG(3.7*$I49/'Calculation Constants'!$B$4*1000)))^2</f>
        <v>1.1458969193927592E-2</v>
      </c>
      <c r="AG49" s="19">
        <f t="shared" si="10"/>
        <v>1.274999100520025</v>
      </c>
      <c r="AH49" s="19">
        <f>IF($H49&gt;0,'Calculation Constants'!$B$9*Hydraulics!$K49^2/2/9.81/MAX($F$4:$F$263)*$H49,"")</f>
        <v>6.098258683766869E-2</v>
      </c>
      <c r="AI49" s="19">
        <f t="shared" si="22"/>
        <v>1.3359816873576937</v>
      </c>
      <c r="AJ49" s="19">
        <f t="shared" si="11"/>
        <v>0</v>
      </c>
      <c r="AK49" s="19">
        <f t="shared" si="23"/>
        <v>38.588640942483607</v>
      </c>
      <c r="AL49" s="23">
        <f t="shared" si="12"/>
        <v>1064.9106409424835</v>
      </c>
      <c r="AM49" s="22">
        <f>(1/(2*LOG(3.7*($I49-0.008)/'Calculation Constants'!$B$5*1000)))^2</f>
        <v>1.4542845531075887E-2</v>
      </c>
      <c r="AN49" s="19">
        <f t="shared" si="24"/>
        <v>1.6249731396833385</v>
      </c>
      <c r="AO49" s="19">
        <f>IF($H49&gt;0,'Calculation Constants'!$B$9*Hydraulics!$K49^2/2/9.81/MAX($F$4:$F$263)*$H49,"")</f>
        <v>6.098258683766869E-2</v>
      </c>
      <c r="AP49" s="19">
        <f t="shared" si="25"/>
        <v>1.6859557265210072</v>
      </c>
      <c r="AQ49" s="19">
        <f t="shared" si="13"/>
        <v>0</v>
      </c>
      <c r="AR49" s="19">
        <f t="shared" si="26"/>
        <v>26.339549571761154</v>
      </c>
      <c r="AS49" s="23">
        <f t="shared" si="14"/>
        <v>1052.661549571761</v>
      </c>
    </row>
    <row r="50" spans="5:45">
      <c r="E50" s="35" t="str">
        <f t="shared" si="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7"/>
        <v>2</v>
      </c>
      <c r="I50" s="19">
        <v>1.9</v>
      </c>
      <c r="J50" s="36">
        <f>'Flow Rate Calculations'!$B$7</f>
        <v>4.0831050228310497</v>
      </c>
      <c r="K50" s="36">
        <f t="shared" si="16"/>
        <v>1.440102709245225</v>
      </c>
      <c r="L50" s="37">
        <f>$I50*$K50/'Calculation Constants'!$B$7</f>
        <v>2421411.6350140949</v>
      </c>
      <c r="M50" s="37">
        <f t="shared" si="1"/>
        <v>88.463000000000079</v>
      </c>
      <c r="N50" s="23">
        <f t="shared" si="17"/>
        <v>51.539200582470926</v>
      </c>
      <c r="O50" s="57">
        <f t="shared" si="2"/>
        <v>88.463000000000079</v>
      </c>
      <c r="P50" s="66">
        <f>MAX(I50*1000/'Calculation Constants'!$B$14,O50*10*I50*1000/2/('Calculation Constants'!$B$12*1000*'Calculation Constants'!$B$13))</f>
        <v>11.875</v>
      </c>
      <c r="Q50" s="68">
        <f t="shared" si="3"/>
        <v>1105894.9783427313</v>
      </c>
      <c r="R50" s="27">
        <f>(1/(2*LOG(3.7*$I50/'Calculation Constants'!$B$2*1000)))^2</f>
        <v>8.6699836115820689E-3</v>
      </c>
      <c r="S50" s="19">
        <f t="shared" si="18"/>
        <v>0.96467850809376621</v>
      </c>
      <c r="T50" s="19">
        <f>IF($H50&gt;0,'Calculation Constants'!$B$9*Hydraulics!$K50^2/2/9.81/MAX($F$4:$F$263)*$H50,"")</f>
        <v>6.098258683766869E-2</v>
      </c>
      <c r="U50" s="19">
        <f t="shared" si="19"/>
        <v>1.0256610949314349</v>
      </c>
      <c r="V50" s="19">
        <f t="shared" si="4"/>
        <v>0</v>
      </c>
      <c r="W50" s="19">
        <f t="shared" si="5"/>
        <v>51.539200582470926</v>
      </c>
      <c r="X50" s="23">
        <f t="shared" si="6"/>
        <v>1074.7462005824709</v>
      </c>
      <c r="Y50" s="22">
        <f>(1/(2*LOG(3.7*$I50/'Calculation Constants'!$B$3*1000)))^2</f>
        <v>9.7303620360708887E-3</v>
      </c>
      <c r="Z50" s="19">
        <f t="shared" si="7"/>
        <v>1.0826630767363397</v>
      </c>
      <c r="AA50" s="19">
        <f>IF($H50&gt;0,'Calculation Constants'!$B$9*Hydraulics!$K50^2/2/9.81/MAX($F$4:$F$263)*$H50,"")</f>
        <v>6.098258683766869E-2</v>
      </c>
      <c r="AB50" s="19">
        <f t="shared" si="28"/>
        <v>1.1436456635740084</v>
      </c>
      <c r="AC50" s="19">
        <f t="shared" si="8"/>
        <v>0</v>
      </c>
      <c r="AD50" s="19">
        <f t="shared" si="21"/>
        <v>47.291756111334848</v>
      </c>
      <c r="AE50" s="23">
        <f t="shared" si="9"/>
        <v>1070.4987561113348</v>
      </c>
      <c r="AF50" s="27">
        <f>(1/(2*LOG(3.7*$I50/'Calculation Constants'!$B$4*1000)))^2</f>
        <v>1.1458969193927592E-2</v>
      </c>
      <c r="AG50" s="19">
        <f t="shared" si="10"/>
        <v>1.274999100520025</v>
      </c>
      <c r="AH50" s="19">
        <f>IF($H50&gt;0,'Calculation Constants'!$B$9*Hydraulics!$K50^2/2/9.81/MAX($F$4:$F$263)*$H50,"")</f>
        <v>6.098258683766869E-2</v>
      </c>
      <c r="AI50" s="19">
        <f t="shared" si="22"/>
        <v>1.3359816873576937</v>
      </c>
      <c r="AJ50" s="19">
        <f t="shared" si="11"/>
        <v>0</v>
      </c>
      <c r="AK50" s="19">
        <f t="shared" si="23"/>
        <v>40.367659255125886</v>
      </c>
      <c r="AL50" s="23">
        <f t="shared" si="12"/>
        <v>1063.5746592551259</v>
      </c>
      <c r="AM50" s="22">
        <f>(1/(2*LOG(3.7*($I50-0.008)/'Calculation Constants'!$B$5*1000)))^2</f>
        <v>1.4542845531075887E-2</v>
      </c>
      <c r="AN50" s="19">
        <f t="shared" si="24"/>
        <v>1.6249731396833385</v>
      </c>
      <c r="AO50" s="19">
        <f>IF($H50&gt;0,'Calculation Constants'!$B$9*Hydraulics!$K50^2/2/9.81/MAX($F$4:$F$263)*$H50,"")</f>
        <v>6.098258683766869E-2</v>
      </c>
      <c r="AP50" s="19">
        <f t="shared" si="25"/>
        <v>1.6859557265210072</v>
      </c>
      <c r="AQ50" s="19">
        <f t="shared" si="13"/>
        <v>0</v>
      </c>
      <c r="AR50" s="19">
        <f t="shared" si="26"/>
        <v>27.768593845239934</v>
      </c>
      <c r="AS50" s="23">
        <f t="shared" si="14"/>
        <v>1050.9755938452399</v>
      </c>
    </row>
    <row r="51" spans="5:45">
      <c r="E51" s="35" t="str">
        <f t="shared" si="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7"/>
        <v>2</v>
      </c>
      <c r="I51" s="19">
        <v>1.9</v>
      </c>
      <c r="J51" s="36">
        <f>'Flow Rate Calculations'!$B$7</f>
        <v>4.0831050228310497</v>
      </c>
      <c r="K51" s="36">
        <f t="shared" si="16"/>
        <v>1.440102709245225</v>
      </c>
      <c r="L51" s="37">
        <f>$I51*$K51/'Calculation Constants'!$B$7</f>
        <v>2421411.6350140949</v>
      </c>
      <c r="M51" s="37">
        <f t="shared" si="1"/>
        <v>90.16700000000003</v>
      </c>
      <c r="N51" s="23">
        <f t="shared" si="17"/>
        <v>52.217539487539511</v>
      </c>
      <c r="O51" s="57">
        <f t="shared" si="2"/>
        <v>90.16700000000003</v>
      </c>
      <c r="P51" s="66">
        <f>MAX(I51*1000/'Calculation Constants'!$B$14,O51*10*I51*1000/2/('Calculation Constants'!$B$12*1000*'Calculation Constants'!$B$13))</f>
        <v>11.875</v>
      </c>
      <c r="Q51" s="68">
        <f t="shared" si="3"/>
        <v>1105894.9783427313</v>
      </c>
      <c r="R51" s="27">
        <f>(1/(2*LOG(3.7*$I51/'Calculation Constants'!$B$2*1000)))^2</f>
        <v>8.6699836115820689E-3</v>
      </c>
      <c r="S51" s="19">
        <f t="shared" si="18"/>
        <v>0.96467850809376621</v>
      </c>
      <c r="T51" s="19">
        <f>IF($H51&gt;0,'Calculation Constants'!$B$9*Hydraulics!$K51^2/2/9.81/MAX($F$4:$F$263)*$H51,"")</f>
        <v>6.098258683766869E-2</v>
      </c>
      <c r="U51" s="19">
        <f t="shared" si="19"/>
        <v>1.0256610949314349</v>
      </c>
      <c r="V51" s="19">
        <f t="shared" si="4"/>
        <v>0</v>
      </c>
      <c r="W51" s="19">
        <f t="shared" si="5"/>
        <v>52.217539487539511</v>
      </c>
      <c r="X51" s="23">
        <f t="shared" si="6"/>
        <v>1073.7205394875396</v>
      </c>
      <c r="Y51" s="22">
        <f>(1/(2*LOG(3.7*$I51/'Calculation Constants'!$B$3*1000)))^2</f>
        <v>9.7303620360708887E-3</v>
      </c>
      <c r="Z51" s="19">
        <f t="shared" si="7"/>
        <v>1.0826630767363397</v>
      </c>
      <c r="AA51" s="19">
        <f>IF($H51&gt;0,'Calculation Constants'!$B$9*Hydraulics!$K51^2/2/9.81/MAX($F$4:$F$263)*$H51,"")</f>
        <v>6.098258683766869E-2</v>
      </c>
      <c r="AB51" s="19">
        <f t="shared" si="28"/>
        <v>1.1436456635740084</v>
      </c>
      <c r="AC51" s="19">
        <f t="shared" si="8"/>
        <v>0</v>
      </c>
      <c r="AD51" s="19">
        <f t="shared" si="21"/>
        <v>47.852110447760765</v>
      </c>
      <c r="AE51" s="23">
        <f t="shared" si="9"/>
        <v>1069.3551104477608</v>
      </c>
      <c r="AF51" s="27">
        <f>(1/(2*LOG(3.7*$I51/'Calculation Constants'!$B$4*1000)))^2</f>
        <v>1.1458969193927592E-2</v>
      </c>
      <c r="AG51" s="19">
        <f t="shared" si="10"/>
        <v>1.274999100520025</v>
      </c>
      <c r="AH51" s="19">
        <f>IF($H51&gt;0,'Calculation Constants'!$B$9*Hydraulics!$K51^2/2/9.81/MAX($F$4:$F$263)*$H51,"")</f>
        <v>6.098258683766869E-2</v>
      </c>
      <c r="AI51" s="19">
        <f t="shared" si="22"/>
        <v>1.3359816873576937</v>
      </c>
      <c r="AJ51" s="19">
        <f t="shared" si="11"/>
        <v>0</v>
      </c>
      <c r="AK51" s="19">
        <f t="shared" si="23"/>
        <v>40.735677567768221</v>
      </c>
      <c r="AL51" s="23">
        <f t="shared" si="12"/>
        <v>1062.2386775677683</v>
      </c>
      <c r="AM51" s="22">
        <f>(1/(2*LOG(3.7*($I51-0.008)/'Calculation Constants'!$B$5*1000)))^2</f>
        <v>1.4542845531075887E-2</v>
      </c>
      <c r="AN51" s="19">
        <f t="shared" si="24"/>
        <v>1.6249731396833385</v>
      </c>
      <c r="AO51" s="19">
        <f>IF($H51&gt;0,'Calculation Constants'!$B$9*Hydraulics!$K51^2/2/9.81/MAX($F$4:$F$263)*$H51,"")</f>
        <v>6.098258683766869E-2</v>
      </c>
      <c r="AP51" s="19">
        <f t="shared" si="25"/>
        <v>1.6859557265210072</v>
      </c>
      <c r="AQ51" s="19">
        <f t="shared" si="13"/>
        <v>0</v>
      </c>
      <c r="AR51" s="19">
        <f t="shared" si="26"/>
        <v>27.78663811871877</v>
      </c>
      <c r="AS51" s="23">
        <f t="shared" si="14"/>
        <v>1049.2896381187188</v>
      </c>
    </row>
    <row r="52" spans="5:45">
      <c r="E52" s="35" t="str">
        <f t="shared" si="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7"/>
        <v>2</v>
      </c>
      <c r="I52" s="19">
        <v>1.9</v>
      </c>
      <c r="J52" s="36">
        <f>'Flow Rate Calculations'!$B$7</f>
        <v>4.0831050228310497</v>
      </c>
      <c r="K52" s="36">
        <f t="shared" si="16"/>
        <v>1.440102709245225</v>
      </c>
      <c r="L52" s="37">
        <f>$I52*$K52/'Calculation Constants'!$B$7</f>
        <v>2421411.6350140949</v>
      </c>
      <c r="M52" s="37">
        <f t="shared" si="1"/>
        <v>91.905000000000086</v>
      </c>
      <c r="N52" s="23">
        <f t="shared" si="17"/>
        <v>52.929878392608202</v>
      </c>
      <c r="O52" s="57">
        <f t="shared" si="2"/>
        <v>91.905000000000086</v>
      </c>
      <c r="P52" s="66">
        <f>MAX(I52*1000/'Calculation Constants'!$B$14,O52*10*I52*1000/2/('Calculation Constants'!$B$12*1000*'Calculation Constants'!$B$13))</f>
        <v>11.875</v>
      </c>
      <c r="Q52" s="68">
        <f t="shared" si="3"/>
        <v>1105894.9783427313</v>
      </c>
      <c r="R52" s="27">
        <f>(1/(2*LOG(3.7*$I52/'Calculation Constants'!$B$2*1000)))^2</f>
        <v>8.6699836115820689E-3</v>
      </c>
      <c r="S52" s="19">
        <f t="shared" si="18"/>
        <v>0.96467850809376621</v>
      </c>
      <c r="T52" s="19">
        <f>IF($H52&gt;0,'Calculation Constants'!$B$9*Hydraulics!$K52^2/2/9.81/MAX($F$4:$F$263)*$H52,"")</f>
        <v>6.098258683766869E-2</v>
      </c>
      <c r="U52" s="19">
        <f t="shared" si="19"/>
        <v>1.0256610949314349</v>
      </c>
      <c r="V52" s="19">
        <f t="shared" si="4"/>
        <v>0</v>
      </c>
      <c r="W52" s="19">
        <f t="shared" si="5"/>
        <v>52.929878392608202</v>
      </c>
      <c r="X52" s="23">
        <f t="shared" si="6"/>
        <v>1072.6948783926082</v>
      </c>
      <c r="Y52" s="22">
        <f>(1/(2*LOG(3.7*$I52/'Calculation Constants'!$B$3*1000)))^2</f>
        <v>9.7303620360708887E-3</v>
      </c>
      <c r="Z52" s="19">
        <f t="shared" si="7"/>
        <v>1.0826630767363397</v>
      </c>
      <c r="AA52" s="19">
        <f>IF($H52&gt;0,'Calculation Constants'!$B$9*Hydraulics!$K52^2/2/9.81/MAX($F$4:$F$263)*$H52,"")</f>
        <v>6.098258683766869E-2</v>
      </c>
      <c r="AB52" s="19">
        <f t="shared" si="28"/>
        <v>1.1436456635740084</v>
      </c>
      <c r="AC52" s="19">
        <f t="shared" si="8"/>
        <v>0</v>
      </c>
      <c r="AD52" s="19">
        <f t="shared" si="21"/>
        <v>48.446464784186787</v>
      </c>
      <c r="AE52" s="23">
        <f t="shared" si="9"/>
        <v>1068.2114647841868</v>
      </c>
      <c r="AF52" s="27">
        <f>(1/(2*LOG(3.7*$I52/'Calculation Constants'!$B$4*1000)))^2</f>
        <v>1.1458969193927592E-2</v>
      </c>
      <c r="AG52" s="19">
        <f t="shared" si="10"/>
        <v>1.274999100520025</v>
      </c>
      <c r="AH52" s="19">
        <f>IF($H52&gt;0,'Calculation Constants'!$B$9*Hydraulics!$K52^2/2/9.81/MAX($F$4:$F$263)*$H52,"")</f>
        <v>6.098258683766869E-2</v>
      </c>
      <c r="AI52" s="19">
        <f t="shared" si="22"/>
        <v>1.3359816873576937</v>
      </c>
      <c r="AJ52" s="19">
        <f t="shared" si="11"/>
        <v>0</v>
      </c>
      <c r="AK52" s="19">
        <f t="shared" si="23"/>
        <v>41.137695880410661</v>
      </c>
      <c r="AL52" s="23">
        <f t="shared" si="12"/>
        <v>1060.9026958804106</v>
      </c>
      <c r="AM52" s="22">
        <f>(1/(2*LOG(3.7*($I52-0.008)/'Calculation Constants'!$B$5*1000)))^2</f>
        <v>1.4542845531075887E-2</v>
      </c>
      <c r="AN52" s="19">
        <f t="shared" si="24"/>
        <v>1.6249731396833385</v>
      </c>
      <c r="AO52" s="19">
        <f>IF($H52&gt;0,'Calculation Constants'!$B$9*Hydraulics!$K52^2/2/9.81/MAX($F$4:$F$263)*$H52,"")</f>
        <v>6.098258683766869E-2</v>
      </c>
      <c r="AP52" s="19">
        <f t="shared" si="25"/>
        <v>1.6859557265210072</v>
      </c>
      <c r="AQ52" s="19">
        <f t="shared" si="13"/>
        <v>0</v>
      </c>
      <c r="AR52" s="19">
        <f t="shared" si="26"/>
        <v>27.838682392197711</v>
      </c>
      <c r="AS52" s="23">
        <f t="shared" si="14"/>
        <v>1047.6036823921977</v>
      </c>
    </row>
    <row r="53" spans="5:45">
      <c r="E53" s="35" t="str">
        <f t="shared" si="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7"/>
        <v>2</v>
      </c>
      <c r="I53" s="19">
        <v>1.9</v>
      </c>
      <c r="J53" s="36">
        <f>'Flow Rate Calculations'!$B$7</f>
        <v>4.0831050228310497</v>
      </c>
      <c r="K53" s="36">
        <f t="shared" si="16"/>
        <v>1.440102709245225</v>
      </c>
      <c r="L53" s="37">
        <f>$I53*$K53/'Calculation Constants'!$B$7</f>
        <v>2421411.6350140949</v>
      </c>
      <c r="M53" s="37">
        <f t="shared" si="1"/>
        <v>93.177000000000021</v>
      </c>
      <c r="N53" s="23">
        <f t="shared" si="17"/>
        <v>53.176217297676772</v>
      </c>
      <c r="O53" s="57">
        <f t="shared" si="2"/>
        <v>93.177000000000021</v>
      </c>
      <c r="P53" s="66">
        <f>MAX(I53*1000/'Calculation Constants'!$B$14,O53*10*I53*1000/2/('Calculation Constants'!$B$12*1000*'Calculation Constants'!$B$13))</f>
        <v>11.875</v>
      </c>
      <c r="Q53" s="68">
        <f t="shared" si="3"/>
        <v>1105894.9783427313</v>
      </c>
      <c r="R53" s="27">
        <f>(1/(2*LOG(3.7*$I53/'Calculation Constants'!$B$2*1000)))^2</f>
        <v>8.6699836115820689E-3</v>
      </c>
      <c r="S53" s="19">
        <f t="shared" si="18"/>
        <v>0.96467850809376621</v>
      </c>
      <c r="T53" s="19">
        <f>IF($H53&gt;0,'Calculation Constants'!$B$9*Hydraulics!$K53^2/2/9.81/MAX($F$4:$F$263)*$H53,"")</f>
        <v>6.098258683766869E-2</v>
      </c>
      <c r="U53" s="19">
        <f t="shared" si="19"/>
        <v>1.0256610949314349</v>
      </c>
      <c r="V53" s="19">
        <f t="shared" si="4"/>
        <v>0</v>
      </c>
      <c r="W53" s="19">
        <f t="shared" si="5"/>
        <v>53.176217297676772</v>
      </c>
      <c r="X53" s="23">
        <f t="shared" si="6"/>
        <v>1071.6692172976768</v>
      </c>
      <c r="Y53" s="22">
        <f>(1/(2*LOG(3.7*$I53/'Calculation Constants'!$B$3*1000)))^2</f>
        <v>9.7303620360708887E-3</v>
      </c>
      <c r="Z53" s="19">
        <f t="shared" si="7"/>
        <v>1.0826630767363397</v>
      </c>
      <c r="AA53" s="19">
        <f>IF($H53&gt;0,'Calculation Constants'!$B$9*Hydraulics!$K53^2/2/9.81/MAX($F$4:$F$263)*$H53,"")</f>
        <v>6.098258683766869E-2</v>
      </c>
      <c r="AB53" s="19">
        <f t="shared" si="28"/>
        <v>1.1436456635740084</v>
      </c>
      <c r="AC53" s="19">
        <f t="shared" si="8"/>
        <v>0</v>
      </c>
      <c r="AD53" s="19">
        <f t="shared" si="21"/>
        <v>48.574819120612688</v>
      </c>
      <c r="AE53" s="23">
        <f t="shared" si="9"/>
        <v>1067.0678191206127</v>
      </c>
      <c r="AF53" s="27">
        <f>(1/(2*LOG(3.7*$I53/'Calculation Constants'!$B$4*1000)))^2</f>
        <v>1.1458969193927592E-2</v>
      </c>
      <c r="AG53" s="19">
        <f t="shared" si="10"/>
        <v>1.274999100520025</v>
      </c>
      <c r="AH53" s="19">
        <f>IF($H53&gt;0,'Calculation Constants'!$B$9*Hydraulics!$K53^2/2/9.81/MAX($F$4:$F$263)*$H53,"")</f>
        <v>6.098258683766869E-2</v>
      </c>
      <c r="AI53" s="19">
        <f t="shared" si="22"/>
        <v>1.3359816873576937</v>
      </c>
      <c r="AJ53" s="19">
        <f t="shared" si="11"/>
        <v>0</v>
      </c>
      <c r="AK53" s="19">
        <f t="shared" si="23"/>
        <v>41.073714193052979</v>
      </c>
      <c r="AL53" s="23">
        <f t="shared" si="12"/>
        <v>1059.566714193053</v>
      </c>
      <c r="AM53" s="22">
        <f>(1/(2*LOG(3.7*($I53-0.008)/'Calculation Constants'!$B$5*1000)))^2</f>
        <v>1.4542845531075887E-2</v>
      </c>
      <c r="AN53" s="19">
        <f t="shared" si="24"/>
        <v>1.6249731396833385</v>
      </c>
      <c r="AO53" s="19">
        <f>IF($H53&gt;0,'Calculation Constants'!$B$9*Hydraulics!$K53^2/2/9.81/MAX($F$4:$F$263)*$H53,"")</f>
        <v>6.098258683766869E-2</v>
      </c>
      <c r="AP53" s="19">
        <f t="shared" si="25"/>
        <v>1.6859557265210072</v>
      </c>
      <c r="AQ53" s="19">
        <f t="shared" si="13"/>
        <v>0</v>
      </c>
      <c r="AR53" s="19">
        <f t="shared" si="26"/>
        <v>27.424726665676531</v>
      </c>
      <c r="AS53" s="23">
        <f t="shared" si="14"/>
        <v>1045.9177266656766</v>
      </c>
    </row>
    <row r="54" spans="5:45">
      <c r="E54" s="35" t="str">
        <f t="shared" si="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7"/>
        <v>2</v>
      </c>
      <c r="I54" s="19">
        <v>1.9</v>
      </c>
      <c r="J54" s="36">
        <f>'Flow Rate Calculations'!$B$7</f>
        <v>4.0831050228310497</v>
      </c>
      <c r="K54" s="36">
        <f t="shared" si="16"/>
        <v>1.440102709245225</v>
      </c>
      <c r="L54" s="37">
        <f>$I54*$K54/'Calculation Constants'!$B$7</f>
        <v>2421411.6350140949</v>
      </c>
      <c r="M54" s="37">
        <f t="shared" si="1"/>
        <v>95.226000000000113</v>
      </c>
      <c r="N54" s="23">
        <f t="shared" si="17"/>
        <v>54.199556202745498</v>
      </c>
      <c r="O54" s="57">
        <f t="shared" si="2"/>
        <v>95.226000000000113</v>
      </c>
      <c r="P54" s="66">
        <f>MAX(I54*1000/'Calculation Constants'!$B$14,O54*10*I54*1000/2/('Calculation Constants'!$B$12*1000*'Calculation Constants'!$B$13))</f>
        <v>11.875</v>
      </c>
      <c r="Q54" s="68">
        <f t="shared" si="3"/>
        <v>1105894.9783427313</v>
      </c>
      <c r="R54" s="27">
        <f>(1/(2*LOG(3.7*$I54/'Calculation Constants'!$B$2*1000)))^2</f>
        <v>8.6699836115820689E-3</v>
      </c>
      <c r="S54" s="19">
        <f t="shared" si="18"/>
        <v>0.96467850809376621</v>
      </c>
      <c r="T54" s="19">
        <f>IF($H54&gt;0,'Calculation Constants'!$B$9*Hydraulics!$K54^2/2/9.81/MAX($F$4:$F$263)*$H54,"")</f>
        <v>6.098258683766869E-2</v>
      </c>
      <c r="U54" s="19">
        <f t="shared" si="19"/>
        <v>1.0256610949314349</v>
      </c>
      <c r="V54" s="19">
        <f t="shared" si="4"/>
        <v>0</v>
      </c>
      <c r="W54" s="19">
        <f t="shared" si="5"/>
        <v>54.199556202745498</v>
      </c>
      <c r="X54" s="23">
        <f t="shared" si="6"/>
        <v>1070.6435562027455</v>
      </c>
      <c r="Y54" s="22">
        <f>(1/(2*LOG(3.7*$I54/'Calculation Constants'!$B$3*1000)))^2</f>
        <v>9.7303620360708887E-3</v>
      </c>
      <c r="Z54" s="19">
        <f t="shared" si="7"/>
        <v>1.0826630767363397</v>
      </c>
      <c r="AA54" s="19">
        <f>IF($H54&gt;0,'Calculation Constants'!$B$9*Hydraulics!$K54^2/2/9.81/MAX($F$4:$F$263)*$H54,"")</f>
        <v>6.098258683766869E-2</v>
      </c>
      <c r="AB54" s="19">
        <f t="shared" si="28"/>
        <v>1.1436456635740084</v>
      </c>
      <c r="AC54" s="19">
        <f t="shared" si="8"/>
        <v>0</v>
      </c>
      <c r="AD54" s="19">
        <f t="shared" si="21"/>
        <v>49.480173457038745</v>
      </c>
      <c r="AE54" s="23">
        <f t="shared" si="9"/>
        <v>1065.9241734570387</v>
      </c>
      <c r="AF54" s="27">
        <f>(1/(2*LOG(3.7*$I54/'Calculation Constants'!$B$4*1000)))^2</f>
        <v>1.1458969193927592E-2</v>
      </c>
      <c r="AG54" s="19">
        <f t="shared" si="10"/>
        <v>1.274999100520025</v>
      </c>
      <c r="AH54" s="19">
        <f>IF($H54&gt;0,'Calculation Constants'!$B$9*Hydraulics!$K54^2/2/9.81/MAX($F$4:$F$263)*$H54,"")</f>
        <v>6.098258683766869E-2</v>
      </c>
      <c r="AI54" s="19">
        <f t="shared" si="22"/>
        <v>1.3359816873576937</v>
      </c>
      <c r="AJ54" s="19">
        <f t="shared" si="11"/>
        <v>0</v>
      </c>
      <c r="AK54" s="19">
        <f t="shared" si="23"/>
        <v>41.786732505695454</v>
      </c>
      <c r="AL54" s="23">
        <f t="shared" si="12"/>
        <v>1058.2307325056954</v>
      </c>
      <c r="AM54" s="22">
        <f>(1/(2*LOG(3.7*($I54-0.008)/'Calculation Constants'!$B$5*1000)))^2</f>
        <v>1.4542845531075887E-2</v>
      </c>
      <c r="AN54" s="19">
        <f t="shared" si="24"/>
        <v>1.6249731396833385</v>
      </c>
      <c r="AO54" s="19">
        <f>IF($H54&gt;0,'Calculation Constants'!$B$9*Hydraulics!$K54^2/2/9.81/MAX($F$4:$F$263)*$H54,"")</f>
        <v>6.098258683766869E-2</v>
      </c>
      <c r="AP54" s="19">
        <f t="shared" si="25"/>
        <v>1.6859557265210072</v>
      </c>
      <c r="AQ54" s="19">
        <f t="shared" si="13"/>
        <v>0</v>
      </c>
      <c r="AR54" s="19">
        <f t="shared" si="26"/>
        <v>27.787770939155507</v>
      </c>
      <c r="AS54" s="23">
        <f t="shared" si="14"/>
        <v>1044.2317709391555</v>
      </c>
    </row>
    <row r="55" spans="5:45">
      <c r="E55" s="35" t="str">
        <f t="shared" si="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7"/>
        <v>2</v>
      </c>
      <c r="I55" s="19">
        <v>1.9</v>
      </c>
      <c r="J55" s="36">
        <f>'Flow Rate Calculations'!$B$7</f>
        <v>4.0831050228310497</v>
      </c>
      <c r="K55" s="36">
        <f t="shared" si="16"/>
        <v>1.440102709245225</v>
      </c>
      <c r="L55" s="37">
        <f>$I55*$K55/'Calculation Constants'!$B$7</f>
        <v>2421411.6350140949</v>
      </c>
      <c r="M55" s="37">
        <f t="shared" si="1"/>
        <v>98.382000000000062</v>
      </c>
      <c r="N55" s="23">
        <f t="shared" si="17"/>
        <v>56.329895107814082</v>
      </c>
      <c r="O55" s="57">
        <f t="shared" si="2"/>
        <v>98.382000000000062</v>
      </c>
      <c r="P55" s="66">
        <f>MAX(I55*1000/'Calculation Constants'!$B$14,O55*10*I55*1000/2/('Calculation Constants'!$B$12*1000*'Calculation Constants'!$B$13))</f>
        <v>11.875</v>
      </c>
      <c r="Q55" s="68">
        <f t="shared" si="3"/>
        <v>1105894.9783427313</v>
      </c>
      <c r="R55" s="27">
        <f>(1/(2*LOG(3.7*$I55/'Calculation Constants'!$B$2*1000)))^2</f>
        <v>8.6699836115820689E-3</v>
      </c>
      <c r="S55" s="19">
        <f t="shared" si="18"/>
        <v>0.96467850809376621</v>
      </c>
      <c r="T55" s="19">
        <f>IF($H55&gt;0,'Calculation Constants'!$B$9*Hydraulics!$K55^2/2/9.81/MAX($F$4:$F$263)*$H55,"")</f>
        <v>6.098258683766869E-2</v>
      </c>
      <c r="U55" s="19">
        <f t="shared" si="19"/>
        <v>1.0256610949314349</v>
      </c>
      <c r="V55" s="19">
        <f t="shared" si="4"/>
        <v>0</v>
      </c>
      <c r="W55" s="19">
        <f t="shared" si="5"/>
        <v>56.329895107814082</v>
      </c>
      <c r="X55" s="23">
        <f t="shared" si="6"/>
        <v>1069.6178951078141</v>
      </c>
      <c r="Y55" s="22">
        <f>(1/(2*LOG(3.7*$I55/'Calculation Constants'!$B$3*1000)))^2</f>
        <v>9.7303620360708887E-3</v>
      </c>
      <c r="Z55" s="19">
        <f t="shared" si="7"/>
        <v>1.0826630767363397</v>
      </c>
      <c r="AA55" s="19">
        <f>IF($H55&gt;0,'Calculation Constants'!$B$9*Hydraulics!$K55^2/2/9.81/MAX($F$4:$F$263)*$H55,"")</f>
        <v>6.098258683766869E-2</v>
      </c>
      <c r="AB55" s="19">
        <f t="shared" si="28"/>
        <v>1.1436456635740084</v>
      </c>
      <c r="AC55" s="19">
        <f t="shared" si="8"/>
        <v>0</v>
      </c>
      <c r="AD55" s="19">
        <f t="shared" si="21"/>
        <v>51.49252779346466</v>
      </c>
      <c r="AE55" s="23">
        <f t="shared" si="9"/>
        <v>1064.7805277934647</v>
      </c>
      <c r="AF55" s="27">
        <f>(1/(2*LOG(3.7*$I55/'Calculation Constants'!$B$4*1000)))^2</f>
        <v>1.1458969193927592E-2</v>
      </c>
      <c r="AG55" s="19">
        <f t="shared" si="10"/>
        <v>1.274999100520025</v>
      </c>
      <c r="AH55" s="19">
        <f>IF($H55&gt;0,'Calculation Constants'!$B$9*Hydraulics!$K55^2/2/9.81/MAX($F$4:$F$263)*$H55,"")</f>
        <v>6.098258683766869E-2</v>
      </c>
      <c r="AI55" s="19">
        <f t="shared" si="22"/>
        <v>1.3359816873576937</v>
      </c>
      <c r="AJ55" s="19">
        <f t="shared" si="11"/>
        <v>0</v>
      </c>
      <c r="AK55" s="19">
        <f t="shared" si="23"/>
        <v>43.606750818337787</v>
      </c>
      <c r="AL55" s="23">
        <f t="shared" si="12"/>
        <v>1056.8947508183378</v>
      </c>
      <c r="AM55" s="22">
        <f>(1/(2*LOG(3.7*($I55-0.008)/'Calculation Constants'!$B$5*1000)))^2</f>
        <v>1.4542845531075887E-2</v>
      </c>
      <c r="AN55" s="19">
        <f t="shared" si="24"/>
        <v>1.6249731396833385</v>
      </c>
      <c r="AO55" s="19">
        <f>IF($H55&gt;0,'Calculation Constants'!$B$9*Hydraulics!$K55^2/2/9.81/MAX($F$4:$F$263)*$H55,"")</f>
        <v>6.098258683766869E-2</v>
      </c>
      <c r="AP55" s="19">
        <f t="shared" si="25"/>
        <v>1.6859557265210072</v>
      </c>
      <c r="AQ55" s="19">
        <f t="shared" si="13"/>
        <v>0</v>
      </c>
      <c r="AR55" s="19">
        <f t="shared" si="26"/>
        <v>29.257815212634341</v>
      </c>
      <c r="AS55" s="23">
        <f t="shared" si="14"/>
        <v>1042.5458152126344</v>
      </c>
    </row>
    <row r="56" spans="5:45">
      <c r="E56" s="35" t="str">
        <f t="shared" si="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7"/>
        <v>2</v>
      </c>
      <c r="I56" s="19">
        <v>1.9</v>
      </c>
      <c r="J56" s="36">
        <f>'Flow Rate Calculations'!$B$7</f>
        <v>4.0831050228310497</v>
      </c>
      <c r="K56" s="36">
        <f t="shared" si="16"/>
        <v>1.440102709245225</v>
      </c>
      <c r="L56" s="37">
        <f>$I56*$K56/'Calculation Constants'!$B$7</f>
        <v>2421411.6350140949</v>
      </c>
      <c r="M56" s="37">
        <f t="shared" si="1"/>
        <v>103.82700000000011</v>
      </c>
      <c r="N56" s="23">
        <f t="shared" si="17"/>
        <v>60.749234012882766</v>
      </c>
      <c r="O56" s="57">
        <f t="shared" si="2"/>
        <v>103.82700000000011</v>
      </c>
      <c r="P56" s="66">
        <f>MAX(I56*1000/'Calculation Constants'!$B$14,O56*10*I56*1000/2/('Calculation Constants'!$B$12*1000*'Calculation Constants'!$B$13))</f>
        <v>11.875</v>
      </c>
      <c r="Q56" s="68">
        <f t="shared" si="3"/>
        <v>1105894.9783427313</v>
      </c>
      <c r="R56" s="27">
        <f>(1/(2*LOG(3.7*$I56/'Calculation Constants'!$B$2*1000)))^2</f>
        <v>8.6699836115820689E-3</v>
      </c>
      <c r="S56" s="19">
        <f t="shared" si="18"/>
        <v>0.96467850809376621</v>
      </c>
      <c r="T56" s="19">
        <f>IF($H56&gt;0,'Calculation Constants'!$B$9*Hydraulics!$K56^2/2/9.81/MAX($F$4:$F$263)*$H56,"")</f>
        <v>6.098258683766869E-2</v>
      </c>
      <c r="U56" s="19">
        <f t="shared" si="19"/>
        <v>1.0256610949314349</v>
      </c>
      <c r="V56" s="19">
        <f t="shared" si="4"/>
        <v>0</v>
      </c>
      <c r="W56" s="19">
        <f t="shared" si="5"/>
        <v>60.749234012882766</v>
      </c>
      <c r="X56" s="23">
        <f t="shared" si="6"/>
        <v>1068.5922340128827</v>
      </c>
      <c r="Y56" s="22">
        <f>(1/(2*LOG(3.7*$I56/'Calculation Constants'!$B$3*1000)))^2</f>
        <v>9.7303620360708887E-3</v>
      </c>
      <c r="Z56" s="19">
        <f t="shared" si="7"/>
        <v>1.0826630767363397</v>
      </c>
      <c r="AA56" s="19">
        <f>IF($H56&gt;0,'Calculation Constants'!$B$9*Hydraulics!$K56^2/2/9.81/MAX($F$4:$F$263)*$H56,"")</f>
        <v>6.098258683766869E-2</v>
      </c>
      <c r="AB56" s="19">
        <f t="shared" si="28"/>
        <v>1.1436456635740084</v>
      </c>
      <c r="AC56" s="19">
        <f t="shared" si="8"/>
        <v>0</v>
      </c>
      <c r="AD56" s="19">
        <f t="shared" si="21"/>
        <v>55.793882129890676</v>
      </c>
      <c r="AE56" s="23">
        <f t="shared" si="9"/>
        <v>1063.6368821298906</v>
      </c>
      <c r="AF56" s="27">
        <f>(1/(2*LOG(3.7*$I56/'Calculation Constants'!$B$4*1000)))^2</f>
        <v>1.1458969193927592E-2</v>
      </c>
      <c r="AG56" s="19">
        <f t="shared" si="10"/>
        <v>1.274999100520025</v>
      </c>
      <c r="AH56" s="19">
        <f>IF($H56&gt;0,'Calculation Constants'!$B$9*Hydraulics!$K56^2/2/9.81/MAX($F$4:$F$263)*$H56,"")</f>
        <v>6.098258683766869E-2</v>
      </c>
      <c r="AI56" s="19">
        <f t="shared" si="22"/>
        <v>1.3359816873576937</v>
      </c>
      <c r="AJ56" s="19">
        <f t="shared" si="11"/>
        <v>0</v>
      </c>
      <c r="AK56" s="19">
        <f t="shared" si="23"/>
        <v>47.71576913098022</v>
      </c>
      <c r="AL56" s="23">
        <f t="shared" si="12"/>
        <v>1055.5587691309802</v>
      </c>
      <c r="AM56" s="22">
        <f>(1/(2*LOG(3.7*($I56-0.008)/'Calculation Constants'!$B$5*1000)))^2</f>
        <v>1.4542845531075887E-2</v>
      </c>
      <c r="AN56" s="19">
        <f t="shared" si="24"/>
        <v>1.6249731396833385</v>
      </c>
      <c r="AO56" s="19">
        <f>IF($H56&gt;0,'Calculation Constants'!$B$9*Hydraulics!$K56^2/2/9.81/MAX($F$4:$F$263)*$H56,"")</f>
        <v>6.098258683766869E-2</v>
      </c>
      <c r="AP56" s="19">
        <f t="shared" si="25"/>
        <v>1.6859557265210072</v>
      </c>
      <c r="AQ56" s="19">
        <f t="shared" si="13"/>
        <v>0</v>
      </c>
      <c r="AR56" s="19">
        <f t="shared" si="26"/>
        <v>33.016859486113276</v>
      </c>
      <c r="AS56" s="23">
        <f t="shared" si="14"/>
        <v>1040.8598594861132</v>
      </c>
    </row>
    <row r="57" spans="5:45">
      <c r="E57" s="35" t="str">
        <f t="shared" si="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7"/>
        <v>2</v>
      </c>
      <c r="I57" s="19">
        <v>1.9</v>
      </c>
      <c r="J57" s="36">
        <f>'Flow Rate Calculations'!$B$7</f>
        <v>4.0831050228310497</v>
      </c>
      <c r="K57" s="36">
        <f t="shared" si="16"/>
        <v>1.440102709245225</v>
      </c>
      <c r="L57" s="37">
        <f>$I57*$K57/'Calculation Constants'!$B$7</f>
        <v>2421411.6350140949</v>
      </c>
      <c r="M57" s="37">
        <f t="shared" si="1"/>
        <v>110.38800000000003</v>
      </c>
      <c r="N57" s="23">
        <f t="shared" si="17"/>
        <v>66.284572917951323</v>
      </c>
      <c r="O57" s="57">
        <f t="shared" si="2"/>
        <v>110.38800000000003</v>
      </c>
      <c r="P57" s="66">
        <f>MAX(I57*1000/'Calculation Constants'!$B$14,O57*10*I57*1000/2/('Calculation Constants'!$B$12*1000*'Calculation Constants'!$B$13))</f>
        <v>11.875</v>
      </c>
      <c r="Q57" s="68">
        <f t="shared" si="3"/>
        <v>1105894.9783427313</v>
      </c>
      <c r="R57" s="27">
        <f>(1/(2*LOG(3.7*$I57/'Calculation Constants'!$B$2*1000)))^2</f>
        <v>8.6699836115820689E-3</v>
      </c>
      <c r="S57" s="19">
        <f t="shared" si="18"/>
        <v>0.96467850809376621</v>
      </c>
      <c r="T57" s="19">
        <f>IF($H57&gt;0,'Calculation Constants'!$B$9*Hydraulics!$K57^2/2/9.81/MAX($F$4:$F$263)*$H57,"")</f>
        <v>6.098258683766869E-2</v>
      </c>
      <c r="U57" s="19">
        <f t="shared" si="19"/>
        <v>1.0256610949314349</v>
      </c>
      <c r="V57" s="19">
        <f t="shared" si="4"/>
        <v>0</v>
      </c>
      <c r="W57" s="19">
        <f t="shared" si="5"/>
        <v>66.284572917951323</v>
      </c>
      <c r="X57" s="23">
        <f t="shared" si="6"/>
        <v>1067.5665729179514</v>
      </c>
      <c r="Y57" s="22">
        <f>(1/(2*LOG(3.7*$I57/'Calculation Constants'!$B$3*1000)))^2</f>
        <v>9.7303620360708887E-3</v>
      </c>
      <c r="Z57" s="19">
        <f t="shared" si="7"/>
        <v>1.0826630767363397</v>
      </c>
      <c r="AA57" s="19">
        <f>IF($H57&gt;0,'Calculation Constants'!$B$9*Hydraulics!$K57^2/2/9.81/MAX($F$4:$F$263)*$H57,"")</f>
        <v>6.098258683766869E-2</v>
      </c>
      <c r="AB57" s="19">
        <f t="shared" si="28"/>
        <v>1.1436456635740084</v>
      </c>
      <c r="AC57" s="19">
        <f t="shared" si="8"/>
        <v>0</v>
      </c>
      <c r="AD57" s="19">
        <f t="shared" si="21"/>
        <v>61.211236466316564</v>
      </c>
      <c r="AE57" s="23">
        <f t="shared" si="9"/>
        <v>1062.4932364663166</v>
      </c>
      <c r="AF57" s="27">
        <f>(1/(2*LOG(3.7*$I57/'Calculation Constants'!$B$4*1000)))^2</f>
        <v>1.1458969193927592E-2</v>
      </c>
      <c r="AG57" s="19">
        <f t="shared" si="10"/>
        <v>1.274999100520025</v>
      </c>
      <c r="AH57" s="19">
        <f>IF($H57&gt;0,'Calculation Constants'!$B$9*Hydraulics!$K57^2/2/9.81/MAX($F$4:$F$263)*$H57,"")</f>
        <v>6.098258683766869E-2</v>
      </c>
      <c r="AI57" s="19">
        <f t="shared" si="22"/>
        <v>1.3359816873576937</v>
      </c>
      <c r="AJ57" s="19">
        <f t="shared" si="11"/>
        <v>0</v>
      </c>
      <c r="AK57" s="19">
        <f t="shared" si="23"/>
        <v>52.940787443622526</v>
      </c>
      <c r="AL57" s="23">
        <f t="shared" si="12"/>
        <v>1054.2227874436226</v>
      </c>
      <c r="AM57" s="22">
        <f>(1/(2*LOG(3.7*($I57-0.008)/'Calculation Constants'!$B$5*1000)))^2</f>
        <v>1.4542845531075887E-2</v>
      </c>
      <c r="AN57" s="19">
        <f t="shared" si="24"/>
        <v>1.6249731396833385</v>
      </c>
      <c r="AO57" s="19">
        <f>IF($H57&gt;0,'Calculation Constants'!$B$9*Hydraulics!$K57^2/2/9.81/MAX($F$4:$F$263)*$H57,"")</f>
        <v>6.098258683766869E-2</v>
      </c>
      <c r="AP57" s="19">
        <f t="shared" si="25"/>
        <v>1.6859557265210072</v>
      </c>
      <c r="AQ57" s="19">
        <f t="shared" si="13"/>
        <v>0</v>
      </c>
      <c r="AR57" s="19">
        <f t="shared" si="26"/>
        <v>37.891903759592083</v>
      </c>
      <c r="AS57" s="23">
        <f t="shared" si="14"/>
        <v>1039.1739037595921</v>
      </c>
    </row>
    <row r="58" spans="5:45">
      <c r="E58" s="35" t="str">
        <f t="shared" si="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7"/>
        <v>2</v>
      </c>
      <c r="I58" s="19">
        <v>1.9</v>
      </c>
      <c r="J58" s="36">
        <f>'Flow Rate Calculations'!$B$7</f>
        <v>4.0831050228310497</v>
      </c>
      <c r="K58" s="36">
        <f t="shared" si="16"/>
        <v>1.440102709245225</v>
      </c>
      <c r="L58" s="37">
        <f>$I58*$K58/'Calculation Constants'!$B$7</f>
        <v>2421411.6350140949</v>
      </c>
      <c r="M58" s="37">
        <f t="shared" si="1"/>
        <v>115.06100000000004</v>
      </c>
      <c r="N58" s="23">
        <f t="shared" si="17"/>
        <v>69.931911823019959</v>
      </c>
      <c r="O58" s="57">
        <f t="shared" si="2"/>
        <v>115.06100000000004</v>
      </c>
      <c r="P58" s="66">
        <f>MAX(I58*1000/'Calculation Constants'!$B$14,O58*10*I58*1000/2/('Calculation Constants'!$B$12*1000*'Calculation Constants'!$B$13))</f>
        <v>11.875</v>
      </c>
      <c r="Q58" s="68">
        <f t="shared" si="3"/>
        <v>1105894.9783427313</v>
      </c>
      <c r="R58" s="27">
        <f>(1/(2*LOG(3.7*$I58/'Calculation Constants'!$B$2*1000)))^2</f>
        <v>8.6699836115820689E-3</v>
      </c>
      <c r="S58" s="19">
        <f t="shared" si="18"/>
        <v>0.96467850809376621</v>
      </c>
      <c r="T58" s="19">
        <f>IF($H58&gt;0,'Calculation Constants'!$B$9*Hydraulics!$K58^2/2/9.81/MAX($F$4:$F$263)*$H58,"")</f>
        <v>6.098258683766869E-2</v>
      </c>
      <c r="U58" s="19">
        <f t="shared" si="19"/>
        <v>1.0256610949314349</v>
      </c>
      <c r="V58" s="19">
        <f t="shared" si="4"/>
        <v>0</v>
      </c>
      <c r="W58" s="19">
        <f t="shared" si="5"/>
        <v>69.931911823019959</v>
      </c>
      <c r="X58" s="23">
        <f t="shared" si="6"/>
        <v>1066.54091182302</v>
      </c>
      <c r="Y58" s="22">
        <f>(1/(2*LOG(3.7*$I58/'Calculation Constants'!$B$3*1000)))^2</f>
        <v>9.7303620360708887E-3</v>
      </c>
      <c r="Z58" s="19">
        <f t="shared" si="7"/>
        <v>1.0826630767363397</v>
      </c>
      <c r="AA58" s="19">
        <f>IF($H58&gt;0,'Calculation Constants'!$B$9*Hydraulics!$K58^2/2/9.81/MAX($F$4:$F$263)*$H58,"")</f>
        <v>6.098258683766869E-2</v>
      </c>
      <c r="AB58" s="19">
        <f t="shared" si="28"/>
        <v>1.1436456635740084</v>
      </c>
      <c r="AC58" s="19">
        <f t="shared" si="8"/>
        <v>0</v>
      </c>
      <c r="AD58" s="19">
        <f t="shared" si="21"/>
        <v>64.740590802742531</v>
      </c>
      <c r="AE58" s="23">
        <f t="shared" si="9"/>
        <v>1061.3495908027426</v>
      </c>
      <c r="AF58" s="27">
        <f>(1/(2*LOG(3.7*$I58/'Calculation Constants'!$B$4*1000)))^2</f>
        <v>1.1458969193927592E-2</v>
      </c>
      <c r="AG58" s="19">
        <f t="shared" si="10"/>
        <v>1.274999100520025</v>
      </c>
      <c r="AH58" s="19">
        <f>IF($H58&gt;0,'Calculation Constants'!$B$9*Hydraulics!$K58^2/2/9.81/MAX($F$4:$F$263)*$H58,"")</f>
        <v>6.098258683766869E-2</v>
      </c>
      <c r="AI58" s="19">
        <f t="shared" si="22"/>
        <v>1.3359816873576937</v>
      </c>
      <c r="AJ58" s="19">
        <f t="shared" si="11"/>
        <v>0</v>
      </c>
      <c r="AK58" s="19">
        <f t="shared" si="23"/>
        <v>56.277805756264911</v>
      </c>
      <c r="AL58" s="23">
        <f t="shared" si="12"/>
        <v>1052.8868057562649</v>
      </c>
      <c r="AM58" s="22">
        <f>(1/(2*LOG(3.7*($I58-0.008)/'Calculation Constants'!$B$5*1000)))^2</f>
        <v>1.4542845531075887E-2</v>
      </c>
      <c r="AN58" s="19">
        <f t="shared" si="24"/>
        <v>1.6249731396833385</v>
      </c>
      <c r="AO58" s="19">
        <f>IF($H58&gt;0,'Calculation Constants'!$B$9*Hydraulics!$K58^2/2/9.81/MAX($F$4:$F$263)*$H58,"")</f>
        <v>6.098258683766869E-2</v>
      </c>
      <c r="AP58" s="19">
        <f t="shared" si="25"/>
        <v>1.6859557265210072</v>
      </c>
      <c r="AQ58" s="19">
        <f t="shared" si="13"/>
        <v>0</v>
      </c>
      <c r="AR58" s="19">
        <f t="shared" si="26"/>
        <v>40.878948033070969</v>
      </c>
      <c r="AS58" s="23">
        <f t="shared" si="14"/>
        <v>1037.487948033071</v>
      </c>
    </row>
    <row r="59" spans="5:45">
      <c r="E59" s="35" t="str">
        <f t="shared" si="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7"/>
        <v>2</v>
      </c>
      <c r="I59" s="19">
        <v>1.9</v>
      </c>
      <c r="J59" s="36">
        <f>'Flow Rate Calculations'!$B$7</f>
        <v>4.0831050228310497</v>
      </c>
      <c r="K59" s="36">
        <f t="shared" si="16"/>
        <v>1.440102709245225</v>
      </c>
      <c r="L59" s="37">
        <f>$I59*$K59/'Calculation Constants'!$B$7</f>
        <v>2421411.6350140949</v>
      </c>
      <c r="M59" s="37">
        <f t="shared" si="1"/>
        <v>118.67100000000005</v>
      </c>
      <c r="N59" s="23">
        <f t="shared" si="17"/>
        <v>72.516250728088608</v>
      </c>
      <c r="O59" s="57">
        <f t="shared" si="2"/>
        <v>118.67100000000005</v>
      </c>
      <c r="P59" s="66">
        <f>MAX(I59*1000/'Calculation Constants'!$B$14,O59*10*I59*1000/2/('Calculation Constants'!$B$12*1000*'Calculation Constants'!$B$13))</f>
        <v>11.875</v>
      </c>
      <c r="Q59" s="68">
        <f t="shared" si="3"/>
        <v>1105894.9783427313</v>
      </c>
      <c r="R59" s="27">
        <f>(1/(2*LOG(3.7*$I59/'Calculation Constants'!$B$2*1000)))^2</f>
        <v>8.6699836115820689E-3</v>
      </c>
      <c r="S59" s="19">
        <f t="shared" si="18"/>
        <v>0.96467850809376621</v>
      </c>
      <c r="T59" s="19">
        <f>IF($H59&gt;0,'Calculation Constants'!$B$9*Hydraulics!$K59^2/2/9.81/MAX($F$4:$F$263)*$H59,"")</f>
        <v>6.098258683766869E-2</v>
      </c>
      <c r="U59" s="19">
        <f t="shared" si="19"/>
        <v>1.0256610949314349</v>
      </c>
      <c r="V59" s="19">
        <f t="shared" si="4"/>
        <v>0</v>
      </c>
      <c r="W59" s="19">
        <f t="shared" si="5"/>
        <v>72.516250728088608</v>
      </c>
      <c r="X59" s="23">
        <f t="shared" si="6"/>
        <v>1065.5152507280886</v>
      </c>
      <c r="Y59" s="22">
        <f>(1/(2*LOG(3.7*$I59/'Calculation Constants'!$B$3*1000)))^2</f>
        <v>9.7303620360708887E-3</v>
      </c>
      <c r="Z59" s="19">
        <f t="shared" si="7"/>
        <v>1.0826630767363397</v>
      </c>
      <c r="AA59" s="19">
        <f>IF($H59&gt;0,'Calculation Constants'!$B$9*Hydraulics!$K59^2/2/9.81/MAX($F$4:$F$263)*$H59,"")</f>
        <v>6.098258683766869E-2</v>
      </c>
      <c r="AB59" s="19">
        <f t="shared" si="28"/>
        <v>1.1436456635740084</v>
      </c>
      <c r="AC59" s="19">
        <f t="shared" si="8"/>
        <v>0</v>
      </c>
      <c r="AD59" s="19">
        <f t="shared" si="21"/>
        <v>67.206945139168511</v>
      </c>
      <c r="AE59" s="23">
        <f t="shared" si="9"/>
        <v>1060.2059451391685</v>
      </c>
      <c r="AF59" s="27">
        <f>(1/(2*LOG(3.7*$I59/'Calculation Constants'!$B$4*1000)))^2</f>
        <v>1.1458969193927592E-2</v>
      </c>
      <c r="AG59" s="19">
        <f t="shared" si="10"/>
        <v>1.274999100520025</v>
      </c>
      <c r="AH59" s="19">
        <f>IF($H59&gt;0,'Calculation Constants'!$B$9*Hydraulics!$K59^2/2/9.81/MAX($F$4:$F$263)*$H59,"")</f>
        <v>6.098258683766869E-2</v>
      </c>
      <c r="AI59" s="19">
        <f t="shared" si="22"/>
        <v>1.3359816873576937</v>
      </c>
      <c r="AJ59" s="19">
        <f t="shared" si="11"/>
        <v>0</v>
      </c>
      <c r="AK59" s="19">
        <f t="shared" si="23"/>
        <v>58.551824068907308</v>
      </c>
      <c r="AL59" s="23">
        <f t="shared" si="12"/>
        <v>1051.5508240689073</v>
      </c>
      <c r="AM59" s="22">
        <f>(1/(2*LOG(3.7*($I59-0.008)/'Calculation Constants'!$B$5*1000)))^2</f>
        <v>1.4542845531075887E-2</v>
      </c>
      <c r="AN59" s="19">
        <f t="shared" si="24"/>
        <v>1.6249731396833385</v>
      </c>
      <c r="AO59" s="19">
        <f>IF($H59&gt;0,'Calculation Constants'!$B$9*Hydraulics!$K59^2/2/9.81/MAX($F$4:$F$263)*$H59,"")</f>
        <v>6.098258683766869E-2</v>
      </c>
      <c r="AP59" s="19">
        <f t="shared" si="25"/>
        <v>1.6859557265210072</v>
      </c>
      <c r="AQ59" s="19">
        <f t="shared" si="13"/>
        <v>0</v>
      </c>
      <c r="AR59" s="19">
        <f t="shared" si="26"/>
        <v>42.802992306549868</v>
      </c>
      <c r="AS59" s="23">
        <f t="shared" si="14"/>
        <v>1035.8019923065499</v>
      </c>
    </row>
    <row r="60" spans="5:45">
      <c r="E60" s="35" t="str">
        <f t="shared" si="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7"/>
        <v>2</v>
      </c>
      <c r="I60" s="19">
        <v>1.9</v>
      </c>
      <c r="J60" s="36">
        <f>'Flow Rate Calculations'!$B$7</f>
        <v>4.0831050228310497</v>
      </c>
      <c r="K60" s="36">
        <f t="shared" si="16"/>
        <v>1.440102709245225</v>
      </c>
      <c r="L60" s="37">
        <f>$I60*$K60/'Calculation Constants'!$B$7</f>
        <v>2421411.6350140949</v>
      </c>
      <c r="M60" s="37">
        <f t="shared" si="1"/>
        <v>118.03100000000006</v>
      </c>
      <c r="N60" s="23">
        <f t="shared" si="17"/>
        <v>70.850589633157256</v>
      </c>
      <c r="O60" s="57">
        <f t="shared" si="2"/>
        <v>118.03100000000006</v>
      </c>
      <c r="P60" s="66">
        <f>MAX(I60*1000/'Calculation Constants'!$B$14,O60*10*I60*1000/2/('Calculation Constants'!$B$12*1000*'Calculation Constants'!$B$13))</f>
        <v>11.875</v>
      </c>
      <c r="Q60" s="68">
        <f t="shared" si="3"/>
        <v>1105894.9783427313</v>
      </c>
      <c r="R60" s="27">
        <f>(1/(2*LOG(3.7*$I60/'Calculation Constants'!$B$2*1000)))^2</f>
        <v>8.6699836115820689E-3</v>
      </c>
      <c r="S60" s="19">
        <f t="shared" si="18"/>
        <v>0.96467850809376621</v>
      </c>
      <c r="T60" s="19">
        <f>IF($H60&gt;0,'Calculation Constants'!$B$9*Hydraulics!$K60^2/2/9.81/MAX($F$4:$F$263)*$H60,"")</f>
        <v>6.098258683766869E-2</v>
      </c>
      <c r="U60" s="19">
        <f t="shared" si="19"/>
        <v>1.0256610949314349</v>
      </c>
      <c r="V60" s="19">
        <f t="shared" si="4"/>
        <v>0</v>
      </c>
      <c r="W60" s="19">
        <f t="shared" si="5"/>
        <v>70.850589633157256</v>
      </c>
      <c r="X60" s="23">
        <f t="shared" si="6"/>
        <v>1064.4895896331573</v>
      </c>
      <c r="Y60" s="22">
        <f>(1/(2*LOG(3.7*$I60/'Calculation Constants'!$B$3*1000)))^2</f>
        <v>9.7303620360708887E-3</v>
      </c>
      <c r="Z60" s="19">
        <f t="shared" si="7"/>
        <v>1.0826630767363397</v>
      </c>
      <c r="AA60" s="19">
        <f>IF($H60&gt;0,'Calculation Constants'!$B$9*Hydraulics!$K60^2/2/9.81/MAX($F$4:$F$263)*$H60,"")</f>
        <v>6.098258683766869E-2</v>
      </c>
      <c r="AB60" s="19">
        <f t="shared" si="28"/>
        <v>1.1436456635740084</v>
      </c>
      <c r="AC60" s="19">
        <f t="shared" si="8"/>
        <v>0</v>
      </c>
      <c r="AD60" s="19">
        <f t="shared" si="21"/>
        <v>65.42329947559449</v>
      </c>
      <c r="AE60" s="23">
        <f t="shared" si="9"/>
        <v>1059.0622994755945</v>
      </c>
      <c r="AF60" s="27">
        <f>(1/(2*LOG(3.7*$I60/'Calculation Constants'!$B$4*1000)))^2</f>
        <v>1.1458969193927592E-2</v>
      </c>
      <c r="AG60" s="19">
        <f t="shared" si="10"/>
        <v>1.274999100520025</v>
      </c>
      <c r="AH60" s="19">
        <f>IF($H60&gt;0,'Calculation Constants'!$B$9*Hydraulics!$K60^2/2/9.81/MAX($F$4:$F$263)*$H60,"")</f>
        <v>6.098258683766869E-2</v>
      </c>
      <c r="AI60" s="19">
        <f t="shared" si="22"/>
        <v>1.3359816873576937</v>
      </c>
      <c r="AJ60" s="19">
        <f t="shared" si="11"/>
        <v>0</v>
      </c>
      <c r="AK60" s="19">
        <f t="shared" si="23"/>
        <v>56.575842381549705</v>
      </c>
      <c r="AL60" s="23">
        <f t="shared" si="12"/>
        <v>1050.2148423815497</v>
      </c>
      <c r="AM60" s="22">
        <f>(1/(2*LOG(3.7*($I60-0.008)/'Calculation Constants'!$B$5*1000)))^2</f>
        <v>1.4542845531075887E-2</v>
      </c>
      <c r="AN60" s="19">
        <f t="shared" si="24"/>
        <v>1.6249731396833385</v>
      </c>
      <c r="AO60" s="19">
        <f>IF($H60&gt;0,'Calculation Constants'!$B$9*Hydraulics!$K60^2/2/9.81/MAX($F$4:$F$263)*$H60,"")</f>
        <v>6.098258683766869E-2</v>
      </c>
      <c r="AP60" s="19">
        <f t="shared" si="25"/>
        <v>1.6859557265210072</v>
      </c>
      <c r="AQ60" s="19">
        <f t="shared" si="13"/>
        <v>0</v>
      </c>
      <c r="AR60" s="19">
        <f t="shared" si="26"/>
        <v>40.477036580028766</v>
      </c>
      <c r="AS60" s="23">
        <f t="shared" si="14"/>
        <v>1034.1160365800288</v>
      </c>
    </row>
    <row r="61" spans="5:45">
      <c r="E61" s="35" t="str">
        <f t="shared" si="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7"/>
        <v>2</v>
      </c>
      <c r="I61" s="19">
        <v>1.9</v>
      </c>
      <c r="J61" s="36">
        <f>'Flow Rate Calculations'!$B$7</f>
        <v>4.0831050228310497</v>
      </c>
      <c r="K61" s="36">
        <f t="shared" si="16"/>
        <v>1.440102709245225</v>
      </c>
      <c r="L61" s="37">
        <f>$I61*$K61/'Calculation Constants'!$B$7</f>
        <v>2421411.6350140949</v>
      </c>
      <c r="M61" s="37">
        <f t="shared" si="1"/>
        <v>117.05900000000008</v>
      </c>
      <c r="N61" s="23">
        <f t="shared" si="17"/>
        <v>68.85292853822591</v>
      </c>
      <c r="O61" s="57">
        <f t="shared" si="2"/>
        <v>117.05900000000008</v>
      </c>
      <c r="P61" s="66">
        <f>MAX(I61*1000/'Calculation Constants'!$B$14,O61*10*I61*1000/2/('Calculation Constants'!$B$12*1000*'Calculation Constants'!$B$13))</f>
        <v>11.875</v>
      </c>
      <c r="Q61" s="68">
        <f t="shared" si="3"/>
        <v>1105894.9783427313</v>
      </c>
      <c r="R61" s="27">
        <f>(1/(2*LOG(3.7*$I61/'Calculation Constants'!$B$2*1000)))^2</f>
        <v>8.6699836115820689E-3</v>
      </c>
      <c r="S61" s="19">
        <f t="shared" si="18"/>
        <v>0.96467850809376621</v>
      </c>
      <c r="T61" s="19">
        <f>IF($H61&gt;0,'Calculation Constants'!$B$9*Hydraulics!$K61^2/2/9.81/MAX($F$4:$F$263)*$H61,"")</f>
        <v>6.098258683766869E-2</v>
      </c>
      <c r="U61" s="19">
        <f t="shared" si="19"/>
        <v>1.0256610949314349</v>
      </c>
      <c r="V61" s="19">
        <f t="shared" si="4"/>
        <v>0</v>
      </c>
      <c r="W61" s="19">
        <f t="shared" si="5"/>
        <v>68.85292853822591</v>
      </c>
      <c r="X61" s="23">
        <f t="shared" si="6"/>
        <v>1063.4639285382259</v>
      </c>
      <c r="Y61" s="22">
        <f>(1/(2*LOG(3.7*$I61/'Calculation Constants'!$B$3*1000)))^2</f>
        <v>9.7303620360708887E-3</v>
      </c>
      <c r="Z61" s="19">
        <f t="shared" si="7"/>
        <v>1.0826630767363397</v>
      </c>
      <c r="AA61" s="19">
        <f>IF($H61&gt;0,'Calculation Constants'!$B$9*Hydraulics!$K61^2/2/9.81/MAX($F$4:$F$263)*$H61,"")</f>
        <v>6.098258683766869E-2</v>
      </c>
      <c r="AB61" s="19">
        <f t="shared" si="28"/>
        <v>1.1436456635740084</v>
      </c>
      <c r="AC61" s="19">
        <f t="shared" si="8"/>
        <v>0</v>
      </c>
      <c r="AD61" s="19">
        <f t="shared" si="21"/>
        <v>63.307653812020476</v>
      </c>
      <c r="AE61" s="23">
        <f t="shared" si="9"/>
        <v>1057.9186538120205</v>
      </c>
      <c r="AF61" s="27">
        <f>(1/(2*LOG(3.7*$I61/'Calculation Constants'!$B$4*1000)))^2</f>
        <v>1.1458969193927592E-2</v>
      </c>
      <c r="AG61" s="19">
        <f t="shared" si="10"/>
        <v>1.274999100520025</v>
      </c>
      <c r="AH61" s="19">
        <f>IF($H61&gt;0,'Calculation Constants'!$B$9*Hydraulics!$K61^2/2/9.81/MAX($F$4:$F$263)*$H61,"")</f>
        <v>6.098258683766869E-2</v>
      </c>
      <c r="AI61" s="19">
        <f t="shared" si="22"/>
        <v>1.3359816873576937</v>
      </c>
      <c r="AJ61" s="19">
        <f t="shared" si="11"/>
        <v>0</v>
      </c>
      <c r="AK61" s="19">
        <f t="shared" si="23"/>
        <v>54.267860694192109</v>
      </c>
      <c r="AL61" s="23">
        <f t="shared" si="12"/>
        <v>1048.8788606941921</v>
      </c>
      <c r="AM61" s="22">
        <f>(1/(2*LOG(3.7*($I61-0.008)/'Calculation Constants'!$B$5*1000)))^2</f>
        <v>1.4542845531075887E-2</v>
      </c>
      <c r="AN61" s="19">
        <f t="shared" si="24"/>
        <v>1.6249731396833385</v>
      </c>
      <c r="AO61" s="19">
        <f>IF($H61&gt;0,'Calculation Constants'!$B$9*Hydraulics!$K61^2/2/9.81/MAX($F$4:$F$263)*$H61,"")</f>
        <v>6.098258683766869E-2</v>
      </c>
      <c r="AP61" s="19">
        <f t="shared" si="25"/>
        <v>1.6859557265210072</v>
      </c>
      <c r="AQ61" s="19">
        <f t="shared" si="13"/>
        <v>0</v>
      </c>
      <c r="AR61" s="19">
        <f t="shared" si="26"/>
        <v>37.819080853507671</v>
      </c>
      <c r="AS61" s="23">
        <f t="shared" si="14"/>
        <v>1032.4300808535077</v>
      </c>
    </row>
    <row r="62" spans="5:45">
      <c r="E62" s="35" t="str">
        <f t="shared" si="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7"/>
        <v>2</v>
      </c>
      <c r="I62" s="19">
        <v>1.9</v>
      </c>
      <c r="J62" s="36">
        <f>'Flow Rate Calculations'!$B$7</f>
        <v>4.0831050228310497</v>
      </c>
      <c r="K62" s="36">
        <f t="shared" si="16"/>
        <v>1.440102709245225</v>
      </c>
      <c r="L62" s="37">
        <f>$I62*$K62/'Calculation Constants'!$B$7</f>
        <v>2421411.6350140949</v>
      </c>
      <c r="M62" s="37">
        <f t="shared" si="1"/>
        <v>115.9190000000001</v>
      </c>
      <c r="N62" s="23">
        <f t="shared" si="17"/>
        <v>66.687267443294559</v>
      </c>
      <c r="O62" s="57">
        <f t="shared" si="2"/>
        <v>115.9190000000001</v>
      </c>
      <c r="P62" s="66">
        <f>MAX(I62*1000/'Calculation Constants'!$B$14,O62*10*I62*1000/2/('Calculation Constants'!$B$12*1000*'Calculation Constants'!$B$13))</f>
        <v>11.875</v>
      </c>
      <c r="Q62" s="68">
        <f t="shared" si="3"/>
        <v>1105894.9783427313</v>
      </c>
      <c r="R62" s="27">
        <f>(1/(2*LOG(3.7*$I62/'Calculation Constants'!$B$2*1000)))^2</f>
        <v>8.6699836115820689E-3</v>
      </c>
      <c r="S62" s="19">
        <f t="shared" si="18"/>
        <v>0.96467850809376621</v>
      </c>
      <c r="T62" s="19">
        <f>IF($H62&gt;0,'Calculation Constants'!$B$9*Hydraulics!$K62^2/2/9.81/MAX($F$4:$F$263)*$H62,"")</f>
        <v>6.098258683766869E-2</v>
      </c>
      <c r="U62" s="19">
        <f t="shared" si="19"/>
        <v>1.0256610949314349</v>
      </c>
      <c r="V62" s="19">
        <f t="shared" si="4"/>
        <v>0</v>
      </c>
      <c r="W62" s="19">
        <f t="shared" si="5"/>
        <v>66.687267443294559</v>
      </c>
      <c r="X62" s="23">
        <f t="shared" si="6"/>
        <v>1062.4382674432945</v>
      </c>
      <c r="Y62" s="22">
        <f>(1/(2*LOG(3.7*$I62/'Calculation Constants'!$B$3*1000)))^2</f>
        <v>9.7303620360708887E-3</v>
      </c>
      <c r="Z62" s="19">
        <f t="shared" si="7"/>
        <v>1.0826630767363397</v>
      </c>
      <c r="AA62" s="19">
        <f>IF($H62&gt;0,'Calculation Constants'!$B$9*Hydraulics!$K62^2/2/9.81/MAX($F$4:$F$263)*$H62,"")</f>
        <v>6.098258683766869E-2</v>
      </c>
      <c r="AB62" s="19">
        <f t="shared" si="28"/>
        <v>1.1436456635740084</v>
      </c>
      <c r="AC62" s="19">
        <f t="shared" si="8"/>
        <v>0</v>
      </c>
      <c r="AD62" s="19">
        <f t="shared" si="21"/>
        <v>61.024008148446455</v>
      </c>
      <c r="AE62" s="23">
        <f t="shared" si="9"/>
        <v>1056.7750081484464</v>
      </c>
      <c r="AF62" s="27">
        <f>(1/(2*LOG(3.7*$I62/'Calculation Constants'!$B$4*1000)))^2</f>
        <v>1.1458969193927592E-2</v>
      </c>
      <c r="AG62" s="19">
        <f t="shared" si="10"/>
        <v>1.274999100520025</v>
      </c>
      <c r="AH62" s="19">
        <f>IF($H62&gt;0,'Calculation Constants'!$B$9*Hydraulics!$K62^2/2/9.81/MAX($F$4:$F$263)*$H62,"")</f>
        <v>6.098258683766869E-2</v>
      </c>
      <c r="AI62" s="19">
        <f t="shared" si="22"/>
        <v>1.3359816873576937</v>
      </c>
      <c r="AJ62" s="19">
        <f t="shared" si="11"/>
        <v>0</v>
      </c>
      <c r="AK62" s="19">
        <f t="shared" si="23"/>
        <v>51.791879006834506</v>
      </c>
      <c r="AL62" s="23">
        <f t="shared" si="12"/>
        <v>1047.5428790068345</v>
      </c>
      <c r="AM62" s="22">
        <f>(1/(2*LOG(3.7*($I62-0.008)/'Calculation Constants'!$B$5*1000)))^2</f>
        <v>1.4542845531075887E-2</v>
      </c>
      <c r="AN62" s="19">
        <f t="shared" si="24"/>
        <v>1.6249731396833385</v>
      </c>
      <c r="AO62" s="19">
        <f>IF($H62&gt;0,'Calculation Constants'!$B$9*Hydraulics!$K62^2/2/9.81/MAX($F$4:$F$263)*$H62,"")</f>
        <v>6.098258683766869E-2</v>
      </c>
      <c r="AP62" s="19">
        <f t="shared" si="25"/>
        <v>1.6859557265210072</v>
      </c>
      <c r="AQ62" s="19">
        <f t="shared" si="13"/>
        <v>0</v>
      </c>
      <c r="AR62" s="19">
        <f t="shared" si="26"/>
        <v>34.99312512698657</v>
      </c>
      <c r="AS62" s="23">
        <f t="shared" si="14"/>
        <v>1030.7441251269865</v>
      </c>
    </row>
    <row r="63" spans="5:45">
      <c r="E63" s="35" t="str">
        <f t="shared" si="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7"/>
        <v>2</v>
      </c>
      <c r="I63" s="19">
        <v>1.9</v>
      </c>
      <c r="J63" s="36">
        <f>'Flow Rate Calculations'!$B$7</f>
        <v>4.0831050228310497</v>
      </c>
      <c r="K63" s="36">
        <f t="shared" si="16"/>
        <v>1.440102709245225</v>
      </c>
      <c r="L63" s="37">
        <f>$I63*$K63/'Calculation Constants'!$B$7</f>
        <v>2421411.6350140949</v>
      </c>
      <c r="M63" s="37">
        <f t="shared" si="1"/>
        <v>115.19100000000003</v>
      </c>
      <c r="N63" s="23">
        <f t="shared" si="17"/>
        <v>64.933606348363128</v>
      </c>
      <c r="O63" s="57">
        <f t="shared" si="2"/>
        <v>115.19100000000003</v>
      </c>
      <c r="P63" s="66">
        <f>MAX(I63*1000/'Calculation Constants'!$B$14,O63*10*I63*1000/2/('Calculation Constants'!$B$12*1000*'Calculation Constants'!$B$13))</f>
        <v>11.875</v>
      </c>
      <c r="Q63" s="68">
        <f t="shared" si="3"/>
        <v>1105894.9783427313</v>
      </c>
      <c r="R63" s="27">
        <f>(1/(2*LOG(3.7*$I63/'Calculation Constants'!$B$2*1000)))^2</f>
        <v>8.6699836115820689E-3</v>
      </c>
      <c r="S63" s="19">
        <f t="shared" si="18"/>
        <v>0.96467850809376621</v>
      </c>
      <c r="T63" s="19">
        <f>IF($H63&gt;0,'Calculation Constants'!$B$9*Hydraulics!$K63^2/2/9.81/MAX($F$4:$F$263)*$H63,"")</f>
        <v>6.098258683766869E-2</v>
      </c>
      <c r="U63" s="19">
        <f t="shared" si="19"/>
        <v>1.0256610949314349</v>
      </c>
      <c r="V63" s="19">
        <f t="shared" si="4"/>
        <v>0</v>
      </c>
      <c r="W63" s="19">
        <f t="shared" si="5"/>
        <v>64.933606348363128</v>
      </c>
      <c r="X63" s="23">
        <f t="shared" si="6"/>
        <v>1061.4126063483632</v>
      </c>
      <c r="Y63" s="22">
        <f>(1/(2*LOG(3.7*$I63/'Calculation Constants'!$B$3*1000)))^2</f>
        <v>9.7303620360708887E-3</v>
      </c>
      <c r="Z63" s="19">
        <f t="shared" si="7"/>
        <v>1.0826630767363397</v>
      </c>
      <c r="AA63" s="19">
        <f>IF($H63&gt;0,'Calculation Constants'!$B$9*Hydraulics!$K63^2/2/9.81/MAX($F$4:$F$263)*$H63,"")</f>
        <v>6.098258683766869E-2</v>
      </c>
      <c r="AB63" s="19">
        <f t="shared" si="28"/>
        <v>1.1436456635740084</v>
      </c>
      <c r="AC63" s="19">
        <f t="shared" si="8"/>
        <v>0</v>
      </c>
      <c r="AD63" s="19">
        <f t="shared" si="21"/>
        <v>59.152362484872356</v>
      </c>
      <c r="AE63" s="23">
        <f t="shared" si="9"/>
        <v>1055.6313624848724</v>
      </c>
      <c r="AF63" s="27">
        <f>(1/(2*LOG(3.7*$I63/'Calculation Constants'!$B$4*1000)))^2</f>
        <v>1.1458969193927592E-2</v>
      </c>
      <c r="AG63" s="19">
        <f t="shared" si="10"/>
        <v>1.274999100520025</v>
      </c>
      <c r="AH63" s="19">
        <f>IF($H63&gt;0,'Calculation Constants'!$B$9*Hydraulics!$K63^2/2/9.81/MAX($F$4:$F$263)*$H63,"")</f>
        <v>6.098258683766869E-2</v>
      </c>
      <c r="AI63" s="19">
        <f t="shared" si="22"/>
        <v>1.3359816873576937</v>
      </c>
      <c r="AJ63" s="19">
        <f t="shared" si="11"/>
        <v>0</v>
      </c>
      <c r="AK63" s="19">
        <f t="shared" si="23"/>
        <v>49.727897319476824</v>
      </c>
      <c r="AL63" s="23">
        <f t="shared" si="12"/>
        <v>1046.2068973194769</v>
      </c>
      <c r="AM63" s="22">
        <f>(1/(2*LOG(3.7*($I63-0.008)/'Calculation Constants'!$B$5*1000)))^2</f>
        <v>1.4542845531075887E-2</v>
      </c>
      <c r="AN63" s="19">
        <f t="shared" si="24"/>
        <v>1.6249731396833385</v>
      </c>
      <c r="AO63" s="19">
        <f>IF($H63&gt;0,'Calculation Constants'!$B$9*Hydraulics!$K63^2/2/9.81/MAX($F$4:$F$263)*$H63,"")</f>
        <v>6.098258683766869E-2</v>
      </c>
      <c r="AP63" s="19">
        <f t="shared" si="25"/>
        <v>1.6859557265210072</v>
      </c>
      <c r="AQ63" s="19">
        <f t="shared" si="13"/>
        <v>0</v>
      </c>
      <c r="AR63" s="19">
        <f t="shared" si="26"/>
        <v>32.579169400465389</v>
      </c>
      <c r="AS63" s="23">
        <f t="shared" si="14"/>
        <v>1029.0581694004654</v>
      </c>
    </row>
    <row r="64" spans="5:45">
      <c r="E64" s="35" t="str">
        <f t="shared" si="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7"/>
        <v>2</v>
      </c>
      <c r="I64" s="19">
        <v>1.9</v>
      </c>
      <c r="J64" s="36">
        <f>'Flow Rate Calculations'!$B$7</f>
        <v>4.0831050228310497</v>
      </c>
      <c r="K64" s="36">
        <f t="shared" si="16"/>
        <v>1.440102709245225</v>
      </c>
      <c r="L64" s="37">
        <f>$I64*$K64/'Calculation Constants'!$B$7</f>
        <v>2421411.6350140949</v>
      </c>
      <c r="M64" s="37">
        <f t="shared" si="1"/>
        <v>115.52300000000002</v>
      </c>
      <c r="N64" s="23">
        <f t="shared" si="17"/>
        <v>64.239945253431756</v>
      </c>
      <c r="O64" s="57">
        <f t="shared" si="2"/>
        <v>115.52300000000002</v>
      </c>
      <c r="P64" s="66">
        <f>MAX(I64*1000/'Calculation Constants'!$B$14,O64*10*I64*1000/2/('Calculation Constants'!$B$12*1000*'Calculation Constants'!$B$13))</f>
        <v>11.875</v>
      </c>
      <c r="Q64" s="68">
        <f t="shared" si="3"/>
        <v>1105894.9783427313</v>
      </c>
      <c r="R64" s="27">
        <f>(1/(2*LOG(3.7*$I64/'Calculation Constants'!$B$2*1000)))^2</f>
        <v>8.6699836115820689E-3</v>
      </c>
      <c r="S64" s="19">
        <f t="shared" si="18"/>
        <v>0.96467850809376621</v>
      </c>
      <c r="T64" s="19">
        <f>IF($H64&gt;0,'Calculation Constants'!$B$9*Hydraulics!$K64^2/2/9.81/MAX($F$4:$F$263)*$H64,"")</f>
        <v>6.098258683766869E-2</v>
      </c>
      <c r="U64" s="19">
        <f t="shared" si="19"/>
        <v>1.0256610949314349</v>
      </c>
      <c r="V64" s="19">
        <f t="shared" si="4"/>
        <v>0</v>
      </c>
      <c r="W64" s="19">
        <f t="shared" si="5"/>
        <v>64.239945253431756</v>
      </c>
      <c r="X64" s="23">
        <f t="shared" si="6"/>
        <v>1060.3869452534318</v>
      </c>
      <c r="Y64" s="22">
        <f>(1/(2*LOG(3.7*$I64/'Calculation Constants'!$B$3*1000)))^2</f>
        <v>9.7303620360708887E-3</v>
      </c>
      <c r="Z64" s="19">
        <f t="shared" si="7"/>
        <v>1.0826630767363397</v>
      </c>
      <c r="AA64" s="19">
        <f>IF($H64&gt;0,'Calculation Constants'!$B$9*Hydraulics!$K64^2/2/9.81/MAX($F$4:$F$263)*$H64,"")</f>
        <v>6.098258683766869E-2</v>
      </c>
      <c r="AB64" s="19">
        <f t="shared" si="28"/>
        <v>1.1436456635740084</v>
      </c>
      <c r="AC64" s="19">
        <f t="shared" si="8"/>
        <v>0</v>
      </c>
      <c r="AD64" s="19">
        <f t="shared" si="21"/>
        <v>58.340716821298315</v>
      </c>
      <c r="AE64" s="23">
        <f t="shared" si="9"/>
        <v>1054.4877168212984</v>
      </c>
      <c r="AF64" s="27">
        <f>(1/(2*LOG(3.7*$I64/'Calculation Constants'!$B$4*1000)))^2</f>
        <v>1.1458969193927592E-2</v>
      </c>
      <c r="AG64" s="19">
        <f t="shared" si="10"/>
        <v>1.274999100520025</v>
      </c>
      <c r="AH64" s="19">
        <f>IF($H64&gt;0,'Calculation Constants'!$B$9*Hydraulics!$K64^2/2/9.81/MAX($F$4:$F$263)*$H64,"")</f>
        <v>6.098258683766869E-2</v>
      </c>
      <c r="AI64" s="19">
        <f t="shared" si="22"/>
        <v>1.3359816873576937</v>
      </c>
      <c r="AJ64" s="19">
        <f t="shared" si="11"/>
        <v>0</v>
      </c>
      <c r="AK64" s="19">
        <f t="shared" si="23"/>
        <v>48.723915632119201</v>
      </c>
      <c r="AL64" s="23">
        <f t="shared" si="12"/>
        <v>1044.8709156321192</v>
      </c>
      <c r="AM64" s="22">
        <f>(1/(2*LOG(3.7*($I64-0.008)/'Calculation Constants'!$B$5*1000)))^2</f>
        <v>1.4542845531075887E-2</v>
      </c>
      <c r="AN64" s="19">
        <f t="shared" si="24"/>
        <v>1.6249731396833385</v>
      </c>
      <c r="AO64" s="19">
        <f>IF($H64&gt;0,'Calculation Constants'!$B$9*Hydraulics!$K64^2/2/9.81/MAX($F$4:$F$263)*$H64,"")</f>
        <v>6.098258683766869E-2</v>
      </c>
      <c r="AP64" s="19">
        <f t="shared" si="25"/>
        <v>1.6859557265210072</v>
      </c>
      <c r="AQ64" s="19">
        <f t="shared" si="13"/>
        <v>0</v>
      </c>
      <c r="AR64" s="19">
        <f t="shared" si="26"/>
        <v>31.225213673944268</v>
      </c>
      <c r="AS64" s="23">
        <f t="shared" si="14"/>
        <v>1027.3722136739443</v>
      </c>
    </row>
    <row r="65" spans="5:45">
      <c r="E65" s="35" t="str">
        <f t="shared" si="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7"/>
        <v>2</v>
      </c>
      <c r="I65" s="19">
        <v>1.9</v>
      </c>
      <c r="J65" s="36">
        <f>'Flow Rate Calculations'!$B$7</f>
        <v>4.0831050228310497</v>
      </c>
      <c r="K65" s="36">
        <f t="shared" si="16"/>
        <v>1.440102709245225</v>
      </c>
      <c r="L65" s="37">
        <f>$I65*$K65/'Calculation Constants'!$B$7</f>
        <v>2421411.6350140949</v>
      </c>
      <c r="M65" s="37">
        <f t="shared" si="1"/>
        <v>119.57600000000002</v>
      </c>
      <c r="N65" s="23">
        <f t="shared" si="17"/>
        <v>67.267284158500388</v>
      </c>
      <c r="O65" s="57">
        <f t="shared" si="2"/>
        <v>119.57600000000002</v>
      </c>
      <c r="P65" s="66">
        <f>MAX(I65*1000/'Calculation Constants'!$B$14,O65*10*I65*1000/2/('Calculation Constants'!$B$12*1000*'Calculation Constants'!$B$13))</f>
        <v>11.875</v>
      </c>
      <c r="Q65" s="68">
        <f t="shared" si="3"/>
        <v>1105894.9783427313</v>
      </c>
      <c r="R65" s="27">
        <f>(1/(2*LOG(3.7*$I65/'Calculation Constants'!$B$2*1000)))^2</f>
        <v>8.6699836115820689E-3</v>
      </c>
      <c r="S65" s="19">
        <f t="shared" si="18"/>
        <v>0.96467850809376621</v>
      </c>
      <c r="T65" s="19">
        <f>IF($H65&gt;0,'Calculation Constants'!$B$9*Hydraulics!$K65^2/2/9.81/MAX($F$4:$F$263)*$H65,"")</f>
        <v>6.098258683766869E-2</v>
      </c>
      <c r="U65" s="19">
        <f t="shared" si="19"/>
        <v>1.0256610949314349</v>
      </c>
      <c r="V65" s="19">
        <f t="shared" si="4"/>
        <v>0</v>
      </c>
      <c r="W65" s="19">
        <f t="shared" si="5"/>
        <v>67.267284158500388</v>
      </c>
      <c r="X65" s="23">
        <f t="shared" si="6"/>
        <v>1059.3612841585004</v>
      </c>
      <c r="Y65" s="22">
        <f>(1/(2*LOG(3.7*$I65/'Calculation Constants'!$B$3*1000)))^2</f>
        <v>9.7303620360708887E-3</v>
      </c>
      <c r="Z65" s="19">
        <f t="shared" si="7"/>
        <v>1.0826630767363397</v>
      </c>
      <c r="AA65" s="19">
        <f>IF($H65&gt;0,'Calculation Constants'!$B$9*Hydraulics!$K65^2/2/9.81/MAX($F$4:$F$263)*$H65,"")</f>
        <v>6.098258683766869E-2</v>
      </c>
      <c r="AB65" s="19">
        <f t="shared" si="28"/>
        <v>1.1436456635740084</v>
      </c>
      <c r="AC65" s="19">
        <f t="shared" si="8"/>
        <v>0</v>
      </c>
      <c r="AD65" s="19">
        <f t="shared" si="21"/>
        <v>61.250071157724278</v>
      </c>
      <c r="AE65" s="23">
        <f t="shared" si="9"/>
        <v>1053.3440711577243</v>
      </c>
      <c r="AF65" s="27">
        <f>(1/(2*LOG(3.7*$I65/'Calculation Constants'!$B$4*1000)))^2</f>
        <v>1.1458969193927592E-2</v>
      </c>
      <c r="AG65" s="19">
        <f t="shared" si="10"/>
        <v>1.274999100520025</v>
      </c>
      <c r="AH65" s="19">
        <f>IF($H65&gt;0,'Calculation Constants'!$B$9*Hydraulics!$K65^2/2/9.81/MAX($F$4:$F$263)*$H65,"")</f>
        <v>6.098258683766869E-2</v>
      </c>
      <c r="AI65" s="19">
        <f t="shared" si="22"/>
        <v>1.3359816873576937</v>
      </c>
      <c r="AJ65" s="19">
        <f t="shared" si="11"/>
        <v>0</v>
      </c>
      <c r="AK65" s="19">
        <f t="shared" si="23"/>
        <v>51.440933944761582</v>
      </c>
      <c r="AL65" s="23">
        <f t="shared" si="12"/>
        <v>1043.5349339447616</v>
      </c>
      <c r="AM65" s="22">
        <f>(1/(2*LOG(3.7*($I65-0.008)/'Calculation Constants'!$B$5*1000)))^2</f>
        <v>1.4542845531075887E-2</v>
      </c>
      <c r="AN65" s="19">
        <f t="shared" si="24"/>
        <v>1.6249731396833385</v>
      </c>
      <c r="AO65" s="19">
        <f>IF($H65&gt;0,'Calculation Constants'!$B$9*Hydraulics!$K65^2/2/9.81/MAX($F$4:$F$263)*$H65,"")</f>
        <v>6.098258683766869E-2</v>
      </c>
      <c r="AP65" s="19">
        <f t="shared" si="25"/>
        <v>1.6859557265210072</v>
      </c>
      <c r="AQ65" s="19">
        <f t="shared" si="13"/>
        <v>0</v>
      </c>
      <c r="AR65" s="19">
        <f t="shared" si="26"/>
        <v>33.59225794742315</v>
      </c>
      <c r="AS65" s="23">
        <f t="shared" si="14"/>
        <v>1025.6862579474232</v>
      </c>
    </row>
    <row r="66" spans="5:45">
      <c r="E66" s="35" t="str">
        <f t="shared" si="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7"/>
        <v>2</v>
      </c>
      <c r="I66" s="19">
        <v>1.9</v>
      </c>
      <c r="J66" s="36">
        <f>'Flow Rate Calculations'!$B$7</f>
        <v>4.0831050228310497</v>
      </c>
      <c r="K66" s="36">
        <f t="shared" si="16"/>
        <v>1.440102709245225</v>
      </c>
      <c r="L66" s="37">
        <f>$I66*$K66/'Calculation Constants'!$B$7</f>
        <v>2421411.6350140949</v>
      </c>
      <c r="M66" s="37">
        <f t="shared" si="1"/>
        <v>126.04700000000003</v>
      </c>
      <c r="N66" s="23">
        <f t="shared" si="17"/>
        <v>72.712623063569026</v>
      </c>
      <c r="O66" s="57">
        <f t="shared" si="2"/>
        <v>126.04700000000003</v>
      </c>
      <c r="P66" s="66">
        <f>MAX(I66*1000/'Calculation Constants'!$B$14,O66*10*I66*1000/2/('Calculation Constants'!$B$12*1000*'Calculation Constants'!$B$13))</f>
        <v>11.875</v>
      </c>
      <c r="Q66" s="68">
        <f t="shared" si="3"/>
        <v>1105894.9783427313</v>
      </c>
      <c r="R66" s="27">
        <f>(1/(2*LOG(3.7*$I66/'Calculation Constants'!$B$2*1000)))^2</f>
        <v>8.6699836115820689E-3</v>
      </c>
      <c r="S66" s="19">
        <f t="shared" si="18"/>
        <v>0.96467850809376621</v>
      </c>
      <c r="T66" s="19">
        <f>IF($H66&gt;0,'Calculation Constants'!$B$9*Hydraulics!$K66^2/2/9.81/MAX($F$4:$F$263)*$H66,"")</f>
        <v>6.098258683766869E-2</v>
      </c>
      <c r="U66" s="19">
        <f t="shared" si="19"/>
        <v>1.0256610949314349</v>
      </c>
      <c r="V66" s="19">
        <f t="shared" si="4"/>
        <v>0</v>
      </c>
      <c r="W66" s="19">
        <f t="shared" si="5"/>
        <v>72.712623063569026</v>
      </c>
      <c r="X66" s="23">
        <f t="shared" si="6"/>
        <v>1058.3356230635691</v>
      </c>
      <c r="Y66" s="22">
        <f>(1/(2*LOG(3.7*$I66/'Calculation Constants'!$B$3*1000)))^2</f>
        <v>9.7303620360708887E-3</v>
      </c>
      <c r="Z66" s="19">
        <f t="shared" si="7"/>
        <v>1.0826630767363397</v>
      </c>
      <c r="AA66" s="19">
        <f>IF($H66&gt;0,'Calculation Constants'!$B$9*Hydraulics!$K66^2/2/9.81/MAX($F$4:$F$263)*$H66,"")</f>
        <v>6.098258683766869E-2</v>
      </c>
      <c r="AB66" s="19">
        <f t="shared" si="28"/>
        <v>1.1436456635740084</v>
      </c>
      <c r="AC66" s="19">
        <f t="shared" si="8"/>
        <v>0</v>
      </c>
      <c r="AD66" s="19">
        <f t="shared" si="21"/>
        <v>66.577425494150248</v>
      </c>
      <c r="AE66" s="23">
        <f t="shared" si="9"/>
        <v>1052.2004254941503</v>
      </c>
      <c r="AF66" s="27">
        <f>(1/(2*LOG(3.7*$I66/'Calculation Constants'!$B$4*1000)))^2</f>
        <v>1.1458969193927592E-2</v>
      </c>
      <c r="AG66" s="19">
        <f t="shared" si="10"/>
        <v>1.274999100520025</v>
      </c>
      <c r="AH66" s="19">
        <f>IF($H66&gt;0,'Calculation Constants'!$B$9*Hydraulics!$K66^2/2/9.81/MAX($F$4:$F$263)*$H66,"")</f>
        <v>6.098258683766869E-2</v>
      </c>
      <c r="AI66" s="19">
        <f t="shared" si="22"/>
        <v>1.3359816873576937</v>
      </c>
      <c r="AJ66" s="19">
        <f t="shared" si="11"/>
        <v>0</v>
      </c>
      <c r="AK66" s="19">
        <f t="shared" si="23"/>
        <v>56.575952257403969</v>
      </c>
      <c r="AL66" s="23">
        <f t="shared" si="12"/>
        <v>1042.198952257404</v>
      </c>
      <c r="AM66" s="22">
        <f>(1/(2*LOG(3.7*($I66-0.008)/'Calculation Constants'!$B$5*1000)))^2</f>
        <v>1.4542845531075887E-2</v>
      </c>
      <c r="AN66" s="19">
        <f t="shared" si="24"/>
        <v>1.6249731396833385</v>
      </c>
      <c r="AO66" s="19">
        <f>IF($H66&gt;0,'Calculation Constants'!$B$9*Hydraulics!$K66^2/2/9.81/MAX($F$4:$F$263)*$H66,"")</f>
        <v>6.098258683766869E-2</v>
      </c>
      <c r="AP66" s="19">
        <f t="shared" si="25"/>
        <v>1.6859557265210072</v>
      </c>
      <c r="AQ66" s="19">
        <f t="shared" si="13"/>
        <v>0</v>
      </c>
      <c r="AR66" s="19">
        <f t="shared" si="26"/>
        <v>38.377302220902038</v>
      </c>
      <c r="AS66" s="23">
        <f t="shared" si="14"/>
        <v>1024.0003022209021</v>
      </c>
    </row>
    <row r="67" spans="5:45">
      <c r="E67" s="35" t="str">
        <f t="shared" si="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7"/>
        <v>2</v>
      </c>
      <c r="I67" s="19">
        <v>1.9</v>
      </c>
      <c r="J67" s="36">
        <f>'Flow Rate Calculations'!$B$7</f>
        <v>4.0831050228310497</v>
      </c>
      <c r="K67" s="36">
        <f t="shared" si="16"/>
        <v>1.440102709245225</v>
      </c>
      <c r="L67" s="37">
        <f>$I67*$K67/'Calculation Constants'!$B$7</f>
        <v>2421411.6350140949</v>
      </c>
      <c r="M67" s="37">
        <f t="shared" si="1"/>
        <v>133.91100000000006</v>
      </c>
      <c r="N67" s="23">
        <f t="shared" si="17"/>
        <v>79.550961968637694</v>
      </c>
      <c r="O67" s="57">
        <f t="shared" si="2"/>
        <v>133.91100000000006</v>
      </c>
      <c r="P67" s="66">
        <f>MAX(I67*1000/'Calculation Constants'!$B$14,O67*10*I67*1000/2/('Calculation Constants'!$B$12*1000*'Calculation Constants'!$B$13))</f>
        <v>11.875</v>
      </c>
      <c r="Q67" s="68">
        <f t="shared" si="3"/>
        <v>1105894.9783427313</v>
      </c>
      <c r="R67" s="27">
        <f>(1/(2*LOG(3.7*$I67/'Calculation Constants'!$B$2*1000)))^2</f>
        <v>8.6699836115820689E-3</v>
      </c>
      <c r="S67" s="19">
        <f t="shared" si="18"/>
        <v>0.96467850809376621</v>
      </c>
      <c r="T67" s="19">
        <f>IF($H67&gt;0,'Calculation Constants'!$B$9*Hydraulics!$K67^2/2/9.81/MAX($F$4:$F$263)*$H67,"")</f>
        <v>6.098258683766869E-2</v>
      </c>
      <c r="U67" s="19">
        <f t="shared" si="19"/>
        <v>1.0256610949314349</v>
      </c>
      <c r="V67" s="19">
        <f t="shared" si="4"/>
        <v>0</v>
      </c>
      <c r="W67" s="19">
        <f t="shared" si="5"/>
        <v>79.550961968637694</v>
      </c>
      <c r="X67" s="23">
        <f t="shared" si="6"/>
        <v>1057.3099619686377</v>
      </c>
      <c r="Y67" s="22">
        <f>(1/(2*LOG(3.7*$I67/'Calculation Constants'!$B$3*1000)))^2</f>
        <v>9.7303620360708887E-3</v>
      </c>
      <c r="Z67" s="19">
        <f t="shared" si="7"/>
        <v>1.0826630767363397</v>
      </c>
      <c r="AA67" s="19">
        <f>IF($H67&gt;0,'Calculation Constants'!$B$9*Hydraulics!$K67^2/2/9.81/MAX($F$4:$F$263)*$H67,"")</f>
        <v>6.098258683766869E-2</v>
      </c>
      <c r="AB67" s="19">
        <f t="shared" si="28"/>
        <v>1.1436456635740084</v>
      </c>
      <c r="AC67" s="19">
        <f t="shared" si="8"/>
        <v>0</v>
      </c>
      <c r="AD67" s="19">
        <f t="shared" si="21"/>
        <v>73.297779830576246</v>
      </c>
      <c r="AE67" s="23">
        <f t="shared" si="9"/>
        <v>1051.0567798305763</v>
      </c>
      <c r="AF67" s="27">
        <f>(1/(2*LOG(3.7*$I67/'Calculation Constants'!$B$4*1000)))^2</f>
        <v>1.1458969193927592E-2</v>
      </c>
      <c r="AG67" s="19">
        <f t="shared" si="10"/>
        <v>1.274999100520025</v>
      </c>
      <c r="AH67" s="19">
        <f>IF($H67&gt;0,'Calculation Constants'!$B$9*Hydraulics!$K67^2/2/9.81/MAX($F$4:$F$263)*$H67,"")</f>
        <v>6.098258683766869E-2</v>
      </c>
      <c r="AI67" s="19">
        <f t="shared" si="22"/>
        <v>1.3359816873576937</v>
      </c>
      <c r="AJ67" s="19">
        <f t="shared" si="11"/>
        <v>0</v>
      </c>
      <c r="AK67" s="19">
        <f t="shared" si="23"/>
        <v>63.103970570046386</v>
      </c>
      <c r="AL67" s="23">
        <f t="shared" si="12"/>
        <v>1040.8629705700464</v>
      </c>
      <c r="AM67" s="22">
        <f>(1/(2*LOG(3.7*($I67-0.008)/'Calculation Constants'!$B$5*1000)))^2</f>
        <v>1.4542845531075887E-2</v>
      </c>
      <c r="AN67" s="19">
        <f t="shared" si="24"/>
        <v>1.6249731396833385</v>
      </c>
      <c r="AO67" s="19">
        <f>IF($H67&gt;0,'Calculation Constants'!$B$9*Hydraulics!$K67^2/2/9.81/MAX($F$4:$F$263)*$H67,"")</f>
        <v>6.098258683766869E-2</v>
      </c>
      <c r="AP67" s="19">
        <f t="shared" si="25"/>
        <v>1.6859557265210072</v>
      </c>
      <c r="AQ67" s="19">
        <f t="shared" si="13"/>
        <v>0</v>
      </c>
      <c r="AR67" s="19">
        <f t="shared" si="26"/>
        <v>44.55534649438107</v>
      </c>
      <c r="AS67" s="23">
        <f t="shared" si="14"/>
        <v>1022.3143464943811</v>
      </c>
    </row>
    <row r="68" spans="5:45">
      <c r="E68" s="35" t="str">
        <f t="shared" ref="E68:E131" si="29">IF(OR(F68=$B$11,F68=$B$12,F68=$B$13,F68=$B$14,F68=$B$15),"Reservoir",IF(OR(F68=$B$4,F68=$B$5,F68=$B$6),"Pump Station",""))</f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7"/>
        <v>2</v>
      </c>
      <c r="I68" s="19">
        <v>1.9</v>
      </c>
      <c r="J68" s="36">
        <f>'Flow Rate Calculations'!$B$7</f>
        <v>4.0831050228310497</v>
      </c>
      <c r="K68" s="36">
        <f t="shared" si="16"/>
        <v>1.440102709245225</v>
      </c>
      <c r="L68" s="37">
        <f>$I68*$K68/'Calculation Constants'!$B$7</f>
        <v>2421411.6350140949</v>
      </c>
      <c r="M68" s="37">
        <f t="shared" ref="M68:M131" si="30">IF(X68&gt;VLOOKUP(F68,$B$11:$D$15,2),"Greater Dynamic Pressures",VLOOKUP(F68,$B$11:$C$15,2)-G68)</f>
        <v>141.89800000000002</v>
      </c>
      <c r="N68" s="23">
        <f t="shared" si="17"/>
        <v>86.512300873706295</v>
      </c>
      <c r="O68" s="57">
        <f t="shared" ref="O68:O131" si="31">MAX(M68,AD68)</f>
        <v>141.89800000000002</v>
      </c>
      <c r="P68" s="66">
        <f>MAX(I68*1000/'Calculation Constants'!$B$14,O68*10*I68*1000/2/('Calculation Constants'!$B$12*1000*'Calculation Constants'!$B$13))</f>
        <v>11.875</v>
      </c>
      <c r="Q68" s="68">
        <f t="shared" ref="Q68:Q131" si="32">(I68^2*PI()/4-(I68-P68/1000*2)^2*PI()/4)*H68*1000*7850</f>
        <v>1105894.9783427313</v>
      </c>
      <c r="R68" s="27">
        <f>(1/(2*LOG(3.7*$I68/'Calculation Constants'!$B$2*1000)))^2</f>
        <v>8.6699836115820689E-3</v>
      </c>
      <c r="S68" s="19">
        <f t="shared" si="18"/>
        <v>0.96467850809376621</v>
      </c>
      <c r="T68" s="19">
        <f>IF($H68&gt;0,'Calculation Constants'!$B$9*Hydraulics!$K68^2/2/9.81/MAX($F$4:$F$263)*$H68,"")</f>
        <v>6.098258683766869E-2</v>
      </c>
      <c r="U68" s="19">
        <f t="shared" si="19"/>
        <v>1.0256610949314349</v>
      </c>
      <c r="V68" s="19">
        <f t="shared" ref="V68:V131" si="33">IF($F68=$B$4,$D$4,(IF($F68=$B$5,$D$5,IF($F68=$B$6,$D$6,0))))</f>
        <v>0</v>
      </c>
      <c r="W68" s="19">
        <f t="shared" ref="W68:W131" si="34">IF(E68="Reservoir",VLOOKUP(F68,$B$11:$D$15,2)-G68,X68-$G68)</f>
        <v>86.512300873706295</v>
      </c>
      <c r="X68" s="23">
        <f t="shared" ref="X68:X131" si="35">IF($E68="Reservoir",VLOOKUP($F68,$B$11:$D$15,2)+V68,X67-U68+V68)</f>
        <v>1056.2843008737063</v>
      </c>
      <c r="Y68" s="22">
        <f>(1/(2*LOG(3.7*$I68/'Calculation Constants'!$B$3*1000)))^2</f>
        <v>9.7303620360708887E-3</v>
      </c>
      <c r="Z68" s="19">
        <f t="shared" ref="Z68:Z131" si="36">IF($H68&gt;0,Y68*$H68*$K68^2/2/9.81/$I68*1000,"")</f>
        <v>1.0826630767363397</v>
      </c>
      <c r="AA68" s="19">
        <f>IF($H68&gt;0,'Calculation Constants'!$B$9*Hydraulics!$K68^2/2/9.81/MAX($F$4:$F$263)*$H68,"")</f>
        <v>6.098258683766869E-2</v>
      </c>
      <c r="AB68" s="19">
        <f t="shared" si="28"/>
        <v>1.1436456635740084</v>
      </c>
      <c r="AC68" s="19">
        <f t="shared" ref="AC68:AC131" si="37">IF($F68=$B$4,$D$4,(IF($F68=$B$5,$D$5,IF($F68=$B$6,$D$6,0))))</f>
        <v>0</v>
      </c>
      <c r="AD68" s="19">
        <f t="shared" si="21"/>
        <v>80.141134167002178</v>
      </c>
      <c r="AE68" s="23">
        <f t="shared" ref="AE68:AE131" si="38">IF($E68="Reservoir",VLOOKUP($F68,$B$11:$D$15,2)+AC68,AE67-AB68+AC68)</f>
        <v>1049.9131341670022</v>
      </c>
      <c r="AF68" s="27">
        <f>(1/(2*LOG(3.7*$I68/'Calculation Constants'!$B$4*1000)))^2</f>
        <v>1.1458969193927592E-2</v>
      </c>
      <c r="AG68" s="19">
        <f t="shared" ref="AG68:AG131" si="39">IF($H68&gt;0,AF68*$H68*$K68^2/2/9.81/$I68*1000,"")</f>
        <v>1.274999100520025</v>
      </c>
      <c r="AH68" s="19">
        <f>IF($H68&gt;0,'Calculation Constants'!$B$9*Hydraulics!$K68^2/2/9.81/MAX($F$4:$F$263)*$H68,"")</f>
        <v>6.098258683766869E-2</v>
      </c>
      <c r="AI68" s="19">
        <f t="shared" si="22"/>
        <v>1.3359816873576937</v>
      </c>
      <c r="AJ68" s="19">
        <f t="shared" ref="AJ68:AJ131" si="40">IF($F68=$B$4,$D$4,(IF($F68=$B$5,$D$5,IF($F68=$B$6,$D$6,0))))</f>
        <v>0</v>
      </c>
      <c r="AK68" s="19">
        <f t="shared" si="23"/>
        <v>69.754988882688735</v>
      </c>
      <c r="AL68" s="23">
        <f t="shared" ref="AL68:AL131" si="41">IF($E68="Reservoir",VLOOKUP($F68,$B$11:$D$15,2)+AJ68,AL67-AI68+AJ68)</f>
        <v>1039.5269888826888</v>
      </c>
      <c r="AM68" s="22">
        <f>(1/(2*LOG(3.7*($I68-0.008)/'Calculation Constants'!$B$5*1000)))^2</f>
        <v>1.4542845531075887E-2</v>
      </c>
      <c r="AN68" s="19">
        <f t="shared" si="24"/>
        <v>1.6249731396833385</v>
      </c>
      <c r="AO68" s="19">
        <f>IF($H68&gt;0,'Calculation Constants'!$B$9*Hydraulics!$K68^2/2/9.81/MAX($F$4:$F$263)*$H68,"")</f>
        <v>6.098258683766869E-2</v>
      </c>
      <c r="AP68" s="19">
        <f t="shared" si="25"/>
        <v>1.6859557265210072</v>
      </c>
      <c r="AQ68" s="19">
        <f t="shared" ref="AQ68:AQ131" si="42">IF($F68=$B$4,$D$4,(IF($F68=$B$5,$D$5,IF($F68=$B$6,$D$6,0))))</f>
        <v>0</v>
      </c>
      <c r="AR68" s="19">
        <f t="shared" si="26"/>
        <v>50.856390767860034</v>
      </c>
      <c r="AS68" s="23">
        <f t="shared" ref="AS68:AS131" si="43">IF($E68="Reservoir",VLOOKUP($F68,$B$11:$D$15,2)+AQ68,AS67-AP68+AQ68)</f>
        <v>1020.6283907678601</v>
      </c>
    </row>
    <row r="69" spans="5:45">
      <c r="E69" s="35" t="str">
        <f t="shared" si="29"/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7"/>
        <v>2</v>
      </c>
      <c r="I69" s="19">
        <v>1.9</v>
      </c>
      <c r="J69" s="36">
        <f>'Flow Rate Calculations'!$B$7</f>
        <v>4.0831050228310497</v>
      </c>
      <c r="K69" s="36">
        <f t="shared" ref="K69:K132" si="44">J69/I69^2/PI()*4</f>
        <v>1.440102709245225</v>
      </c>
      <c r="L69" s="37">
        <f>$I69*$K69/'Calculation Constants'!$B$7</f>
        <v>2421411.6350140949</v>
      </c>
      <c r="M69" s="37">
        <f t="shared" si="30"/>
        <v>129.8850000000001</v>
      </c>
      <c r="N69" s="23">
        <f t="shared" ref="N69:N132" si="45">W69</f>
        <v>73.473639778775009</v>
      </c>
      <c r="O69" s="57">
        <f t="shared" si="31"/>
        <v>129.8850000000001</v>
      </c>
      <c r="P69" s="66">
        <f>MAX(I69*1000/'Calculation Constants'!$B$14,O69*10*I69*1000/2/('Calculation Constants'!$B$12*1000*'Calculation Constants'!$B$13))</f>
        <v>11.875</v>
      </c>
      <c r="Q69" s="68">
        <f t="shared" si="32"/>
        <v>1105894.9783427313</v>
      </c>
      <c r="R69" s="27">
        <f>(1/(2*LOG(3.7*$I69/'Calculation Constants'!$B$2*1000)))^2</f>
        <v>8.6699836115820689E-3</v>
      </c>
      <c r="S69" s="19">
        <f t="shared" ref="S69:S132" si="46">IF($H69&gt;0,R69*$H69*$K69^2/2/9.81/$I69*1000,"")</f>
        <v>0.96467850809376621</v>
      </c>
      <c r="T69" s="19">
        <f>IF($H69&gt;0,'Calculation Constants'!$B$9*Hydraulics!$K69^2/2/9.81/MAX($F$4:$F$263)*$H69,"")</f>
        <v>6.098258683766869E-2</v>
      </c>
      <c r="U69" s="19">
        <f t="shared" ref="U69:U132" si="47">IF(S69="",0,S69+T69)</f>
        <v>1.0256610949314349</v>
      </c>
      <c r="V69" s="19">
        <f t="shared" si="33"/>
        <v>0</v>
      </c>
      <c r="W69" s="19">
        <f t="shared" si="34"/>
        <v>73.473639778775009</v>
      </c>
      <c r="X69" s="23">
        <f t="shared" si="35"/>
        <v>1055.258639778775</v>
      </c>
      <c r="Y69" s="22">
        <f>(1/(2*LOG(3.7*$I69/'Calculation Constants'!$B$3*1000)))^2</f>
        <v>9.7303620360708887E-3</v>
      </c>
      <c r="Z69" s="19">
        <f t="shared" si="36"/>
        <v>1.0826630767363397</v>
      </c>
      <c r="AA69" s="19">
        <f>IF($H69&gt;0,'Calculation Constants'!$B$9*Hydraulics!$K69^2/2/9.81/MAX($F$4:$F$263)*$H69,"")</f>
        <v>6.098258683766869E-2</v>
      </c>
      <c r="AB69" s="19">
        <f t="shared" si="28"/>
        <v>1.1436456635740084</v>
      </c>
      <c r="AC69" s="19">
        <f t="shared" si="37"/>
        <v>0</v>
      </c>
      <c r="AD69" s="19">
        <f t="shared" ref="AD69:AD132" si="48">AE69-$G69</f>
        <v>66.984488503428224</v>
      </c>
      <c r="AE69" s="23">
        <f t="shared" si="38"/>
        <v>1048.7694885034282</v>
      </c>
      <c r="AF69" s="27">
        <f>(1/(2*LOG(3.7*$I69/'Calculation Constants'!$B$4*1000)))^2</f>
        <v>1.1458969193927592E-2</v>
      </c>
      <c r="AG69" s="19">
        <f t="shared" si="39"/>
        <v>1.274999100520025</v>
      </c>
      <c r="AH69" s="19">
        <f>IF($H69&gt;0,'Calculation Constants'!$B$9*Hydraulics!$K69^2/2/9.81/MAX($F$4:$F$263)*$H69,"")</f>
        <v>6.098258683766869E-2</v>
      </c>
      <c r="AI69" s="19">
        <f t="shared" ref="AI69:AI132" si="49">IF(AG69="",0,AG69+AH69)</f>
        <v>1.3359816873576937</v>
      </c>
      <c r="AJ69" s="19">
        <f t="shared" si="40"/>
        <v>0</v>
      </c>
      <c r="AK69" s="19">
        <f t="shared" ref="AK69:AK132" si="50">AL69-$G69</f>
        <v>56.406007195331199</v>
      </c>
      <c r="AL69" s="23">
        <f t="shared" si="41"/>
        <v>1038.1910071953312</v>
      </c>
      <c r="AM69" s="22">
        <f>(1/(2*LOG(3.7*($I69-0.008)/'Calculation Constants'!$B$5*1000)))^2</f>
        <v>1.4542845531075887E-2</v>
      </c>
      <c r="AN69" s="19">
        <f t="shared" ref="AN69:AN132" si="51">IF($H69&gt;0,AM69*$H69*$K69^2/2/9.81/($I69-0.008)*1000,"")</f>
        <v>1.6249731396833385</v>
      </c>
      <c r="AO69" s="19">
        <f>IF($H69&gt;0,'Calculation Constants'!$B$9*Hydraulics!$K69^2/2/9.81/MAX($F$4:$F$263)*$H69,"")</f>
        <v>6.098258683766869E-2</v>
      </c>
      <c r="AP69" s="19">
        <f t="shared" ref="AP69:AP132" si="52">IF(AN69="",0,AN69+AO69)</f>
        <v>1.6859557265210072</v>
      </c>
      <c r="AQ69" s="19">
        <f t="shared" si="42"/>
        <v>0</v>
      </c>
      <c r="AR69" s="19">
        <f t="shared" ref="AR69:AR132" si="53">AS69-$G69</f>
        <v>37.157435041339113</v>
      </c>
      <c r="AS69" s="23">
        <f t="shared" si="43"/>
        <v>1018.9424350413391</v>
      </c>
    </row>
    <row r="70" spans="5:45">
      <c r="E70" s="35" t="str">
        <f t="shared" si="29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4">F70-F69</f>
        <v>2</v>
      </c>
      <c r="I70" s="19">
        <v>1.9</v>
      </c>
      <c r="J70" s="36">
        <f>'Flow Rate Calculations'!$B$7</f>
        <v>4.0831050228310497</v>
      </c>
      <c r="K70" s="36">
        <f t="shared" si="44"/>
        <v>1.440102709245225</v>
      </c>
      <c r="L70" s="37">
        <f>$I70*$K70/'Calculation Constants'!$B$7</f>
        <v>2421411.6350140949</v>
      </c>
      <c r="M70" s="37">
        <f t="shared" si="30"/>
        <v>120.2120000000001</v>
      </c>
      <c r="N70" s="23">
        <f t="shared" si="45"/>
        <v>62.774978683843642</v>
      </c>
      <c r="O70" s="57">
        <f t="shared" si="31"/>
        <v>120.2120000000001</v>
      </c>
      <c r="P70" s="66">
        <f>MAX(I70*1000/'Calculation Constants'!$B$14,O70*10*I70*1000/2/('Calculation Constants'!$B$12*1000*'Calculation Constants'!$B$13))</f>
        <v>11.875</v>
      </c>
      <c r="Q70" s="68">
        <f t="shared" si="32"/>
        <v>1105894.9783427313</v>
      </c>
      <c r="R70" s="27">
        <f>(1/(2*LOG(3.7*$I70/'Calculation Constants'!$B$2*1000)))^2</f>
        <v>8.6699836115820689E-3</v>
      </c>
      <c r="S70" s="19">
        <f t="shared" si="46"/>
        <v>0.96467850809376621</v>
      </c>
      <c r="T70" s="19">
        <f>IF($H70&gt;0,'Calculation Constants'!$B$9*Hydraulics!$K70^2/2/9.81/MAX($F$4:$F$263)*$H70,"")</f>
        <v>6.098258683766869E-2</v>
      </c>
      <c r="U70" s="19">
        <f t="shared" si="47"/>
        <v>1.0256610949314349</v>
      </c>
      <c r="V70" s="19">
        <f t="shared" si="33"/>
        <v>0</v>
      </c>
      <c r="W70" s="19">
        <f t="shared" si="34"/>
        <v>62.774978683843642</v>
      </c>
      <c r="X70" s="23">
        <f t="shared" si="35"/>
        <v>1054.2329786838436</v>
      </c>
      <c r="Y70" s="22">
        <f>(1/(2*LOG(3.7*$I70/'Calculation Constants'!$B$3*1000)))^2</f>
        <v>9.7303620360708887E-3</v>
      </c>
      <c r="Z70" s="19">
        <f t="shared" si="36"/>
        <v>1.0826630767363397</v>
      </c>
      <c r="AA70" s="19">
        <f>IF($H70&gt;0,'Calculation Constants'!$B$9*Hydraulics!$K70^2/2/9.81/MAX($F$4:$F$263)*$H70,"")</f>
        <v>6.098258683766869E-2</v>
      </c>
      <c r="AB70" s="19">
        <f t="shared" si="28"/>
        <v>1.1436456635740084</v>
      </c>
      <c r="AC70" s="19">
        <f t="shared" si="37"/>
        <v>0</v>
      </c>
      <c r="AD70" s="19">
        <f t="shared" si="48"/>
        <v>56.167842839854188</v>
      </c>
      <c r="AE70" s="23">
        <f t="shared" si="38"/>
        <v>1047.6258428398542</v>
      </c>
      <c r="AF70" s="27">
        <f>(1/(2*LOG(3.7*$I70/'Calculation Constants'!$B$4*1000)))^2</f>
        <v>1.1458969193927592E-2</v>
      </c>
      <c r="AG70" s="19">
        <f t="shared" si="39"/>
        <v>1.274999100520025</v>
      </c>
      <c r="AH70" s="19">
        <f>IF($H70&gt;0,'Calculation Constants'!$B$9*Hydraulics!$K70^2/2/9.81/MAX($F$4:$F$263)*$H70,"")</f>
        <v>6.098258683766869E-2</v>
      </c>
      <c r="AI70" s="19">
        <f t="shared" si="49"/>
        <v>1.3359816873576937</v>
      </c>
      <c r="AJ70" s="19">
        <f t="shared" si="40"/>
        <v>0</v>
      </c>
      <c r="AK70" s="19">
        <f t="shared" si="50"/>
        <v>45.397025507973581</v>
      </c>
      <c r="AL70" s="23">
        <f t="shared" si="41"/>
        <v>1036.8550255079736</v>
      </c>
      <c r="AM70" s="22">
        <f>(1/(2*LOG(3.7*($I70-0.008)/'Calculation Constants'!$B$5*1000)))^2</f>
        <v>1.4542845531075887E-2</v>
      </c>
      <c r="AN70" s="19">
        <f t="shared" si="51"/>
        <v>1.6249731396833385</v>
      </c>
      <c r="AO70" s="19">
        <f>IF($H70&gt;0,'Calculation Constants'!$B$9*Hydraulics!$K70^2/2/9.81/MAX($F$4:$F$263)*$H70,"")</f>
        <v>6.098258683766869E-2</v>
      </c>
      <c r="AP70" s="19">
        <f t="shared" si="52"/>
        <v>1.6859557265210072</v>
      </c>
      <c r="AQ70" s="19">
        <f t="shared" si="42"/>
        <v>0</v>
      </c>
      <c r="AR70" s="19">
        <f t="shared" si="53"/>
        <v>25.79847931481811</v>
      </c>
      <c r="AS70" s="23">
        <f t="shared" si="43"/>
        <v>1017.2564793148181</v>
      </c>
    </row>
    <row r="71" spans="5:45">
      <c r="E71" s="35" t="str">
        <f t="shared" si="29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4"/>
        <v>2</v>
      </c>
      <c r="I71" s="19">
        <v>1.9</v>
      </c>
      <c r="J71" s="36">
        <f>'Flow Rate Calculations'!$B$7</f>
        <v>4.0831050228310497</v>
      </c>
      <c r="K71" s="36">
        <f t="shared" si="44"/>
        <v>1.440102709245225</v>
      </c>
      <c r="L71" s="37">
        <f>$I71*$K71/'Calculation Constants'!$B$7</f>
        <v>2421411.6350140949</v>
      </c>
      <c r="M71" s="37">
        <f t="shared" si="30"/>
        <v>123.90000000000009</v>
      </c>
      <c r="N71" s="23">
        <f t="shared" si="45"/>
        <v>65.437317588912265</v>
      </c>
      <c r="O71" s="57">
        <f t="shared" si="31"/>
        <v>123.90000000000009</v>
      </c>
      <c r="P71" s="66">
        <f>MAX(I71*1000/'Calculation Constants'!$B$14,O71*10*I71*1000/2/('Calculation Constants'!$B$12*1000*'Calculation Constants'!$B$13))</f>
        <v>11.875</v>
      </c>
      <c r="Q71" s="68">
        <f t="shared" si="32"/>
        <v>1105894.9783427313</v>
      </c>
      <c r="R71" s="27">
        <f>(1/(2*LOG(3.7*$I71/'Calculation Constants'!$B$2*1000)))^2</f>
        <v>8.6699836115820689E-3</v>
      </c>
      <c r="S71" s="19">
        <f t="shared" si="46"/>
        <v>0.96467850809376621</v>
      </c>
      <c r="T71" s="19">
        <f>IF($H71&gt;0,'Calculation Constants'!$B$9*Hydraulics!$K71^2/2/9.81/MAX($F$4:$F$263)*$H71,"")</f>
        <v>6.098258683766869E-2</v>
      </c>
      <c r="U71" s="19">
        <f t="shared" si="47"/>
        <v>1.0256610949314349</v>
      </c>
      <c r="V71" s="19">
        <f t="shared" si="33"/>
        <v>0</v>
      </c>
      <c r="W71" s="19">
        <f t="shared" si="34"/>
        <v>65.437317588912265</v>
      </c>
      <c r="X71" s="23">
        <f t="shared" si="35"/>
        <v>1053.2073175889122</v>
      </c>
      <c r="Y71" s="22">
        <f>(1/(2*LOG(3.7*$I71/'Calculation Constants'!$B$3*1000)))^2</f>
        <v>9.7303620360708887E-3</v>
      </c>
      <c r="Z71" s="19">
        <f t="shared" si="36"/>
        <v>1.0826630767363397</v>
      </c>
      <c r="AA71" s="19">
        <f>IF($H71&gt;0,'Calculation Constants'!$B$9*Hydraulics!$K71^2/2/9.81/MAX($F$4:$F$263)*$H71,"")</f>
        <v>6.098258683766869E-2</v>
      </c>
      <c r="AB71" s="19">
        <f t="shared" si="28"/>
        <v>1.1436456635740084</v>
      </c>
      <c r="AC71" s="19">
        <f t="shared" si="37"/>
        <v>0</v>
      </c>
      <c r="AD71" s="19">
        <f t="shared" si="48"/>
        <v>58.712197176280142</v>
      </c>
      <c r="AE71" s="23">
        <f t="shared" si="38"/>
        <v>1046.4821971762801</v>
      </c>
      <c r="AF71" s="27">
        <f>(1/(2*LOG(3.7*$I71/'Calculation Constants'!$B$4*1000)))^2</f>
        <v>1.1458969193927592E-2</v>
      </c>
      <c r="AG71" s="19">
        <f t="shared" si="39"/>
        <v>1.274999100520025</v>
      </c>
      <c r="AH71" s="19">
        <f>IF($H71&gt;0,'Calculation Constants'!$B$9*Hydraulics!$K71^2/2/9.81/MAX($F$4:$F$263)*$H71,"")</f>
        <v>6.098258683766869E-2</v>
      </c>
      <c r="AI71" s="19">
        <f t="shared" si="49"/>
        <v>1.3359816873576937</v>
      </c>
      <c r="AJ71" s="19">
        <f t="shared" si="40"/>
        <v>0</v>
      </c>
      <c r="AK71" s="19">
        <f t="shared" si="50"/>
        <v>47.749043820615952</v>
      </c>
      <c r="AL71" s="23">
        <f t="shared" si="41"/>
        <v>1035.5190438206159</v>
      </c>
      <c r="AM71" s="22">
        <f>(1/(2*LOG(3.7*($I71-0.008)/'Calculation Constants'!$B$5*1000)))^2</f>
        <v>1.4542845531075887E-2</v>
      </c>
      <c r="AN71" s="19">
        <f t="shared" si="51"/>
        <v>1.6249731396833385</v>
      </c>
      <c r="AO71" s="19">
        <f>IF($H71&gt;0,'Calculation Constants'!$B$9*Hydraulics!$K71^2/2/9.81/MAX($F$4:$F$263)*$H71,"")</f>
        <v>6.098258683766869E-2</v>
      </c>
      <c r="AP71" s="19">
        <f t="shared" si="52"/>
        <v>1.6859557265210072</v>
      </c>
      <c r="AQ71" s="19">
        <f t="shared" si="42"/>
        <v>0</v>
      </c>
      <c r="AR71" s="19">
        <f t="shared" si="53"/>
        <v>27.800523588297096</v>
      </c>
      <c r="AS71" s="23">
        <f t="shared" si="43"/>
        <v>1015.5705235882971</v>
      </c>
    </row>
    <row r="72" spans="5:45">
      <c r="E72" s="35" t="str">
        <f t="shared" si="29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4"/>
        <v>2</v>
      </c>
      <c r="I72" s="19">
        <v>1.9</v>
      </c>
      <c r="J72" s="36">
        <f>'Flow Rate Calculations'!$B$7</f>
        <v>4.0831050228310497</v>
      </c>
      <c r="K72" s="36">
        <f t="shared" si="44"/>
        <v>1.440102709245225</v>
      </c>
      <c r="L72" s="37">
        <f>$I72*$K72/'Calculation Constants'!$B$7</f>
        <v>2421411.6350140949</v>
      </c>
      <c r="M72" s="37">
        <f t="shared" si="30"/>
        <v>128.94500000000005</v>
      </c>
      <c r="N72" s="23">
        <f t="shared" si="45"/>
        <v>69.456656493980859</v>
      </c>
      <c r="O72" s="57">
        <f t="shared" si="31"/>
        <v>128.94500000000005</v>
      </c>
      <c r="P72" s="66">
        <f>MAX(I72*1000/'Calculation Constants'!$B$14,O72*10*I72*1000/2/('Calculation Constants'!$B$12*1000*'Calculation Constants'!$B$13))</f>
        <v>11.875</v>
      </c>
      <c r="Q72" s="68">
        <f t="shared" si="32"/>
        <v>1105894.9783427313</v>
      </c>
      <c r="R72" s="27">
        <f>(1/(2*LOG(3.7*$I72/'Calculation Constants'!$B$2*1000)))^2</f>
        <v>8.6699836115820689E-3</v>
      </c>
      <c r="S72" s="19">
        <f t="shared" si="46"/>
        <v>0.96467850809376621</v>
      </c>
      <c r="T72" s="19">
        <f>IF($H72&gt;0,'Calculation Constants'!$B$9*Hydraulics!$K72^2/2/9.81/MAX($F$4:$F$263)*$H72,"")</f>
        <v>6.098258683766869E-2</v>
      </c>
      <c r="U72" s="19">
        <f t="shared" si="47"/>
        <v>1.0256610949314349</v>
      </c>
      <c r="V72" s="19">
        <f t="shared" si="33"/>
        <v>0</v>
      </c>
      <c r="W72" s="19">
        <f t="shared" si="34"/>
        <v>69.456656493980859</v>
      </c>
      <c r="X72" s="23">
        <f t="shared" si="35"/>
        <v>1052.1816564939809</v>
      </c>
      <c r="Y72" s="22">
        <f>(1/(2*LOG(3.7*$I72/'Calculation Constants'!$B$3*1000)))^2</f>
        <v>9.7303620360708887E-3</v>
      </c>
      <c r="Z72" s="19">
        <f t="shared" si="36"/>
        <v>1.0826630767363397</v>
      </c>
      <c r="AA72" s="19">
        <f>IF($H72&gt;0,'Calculation Constants'!$B$9*Hydraulics!$K72^2/2/9.81/MAX($F$4:$F$263)*$H72,"")</f>
        <v>6.098258683766869E-2</v>
      </c>
      <c r="AB72" s="19">
        <f t="shared" ref="AB72:AB135" si="55">IF(Z72="",0,Z72+AA72)</f>
        <v>1.1436456635740084</v>
      </c>
      <c r="AC72" s="19">
        <f t="shared" si="37"/>
        <v>0</v>
      </c>
      <c r="AD72" s="19">
        <f t="shared" si="48"/>
        <v>62.613551512706067</v>
      </c>
      <c r="AE72" s="23">
        <f t="shared" si="38"/>
        <v>1045.3385515127061</v>
      </c>
      <c r="AF72" s="27">
        <f>(1/(2*LOG(3.7*$I72/'Calculation Constants'!$B$4*1000)))^2</f>
        <v>1.1458969193927592E-2</v>
      </c>
      <c r="AG72" s="19">
        <f t="shared" si="39"/>
        <v>1.274999100520025</v>
      </c>
      <c r="AH72" s="19">
        <f>IF($H72&gt;0,'Calculation Constants'!$B$9*Hydraulics!$K72^2/2/9.81/MAX($F$4:$F$263)*$H72,"")</f>
        <v>6.098258683766869E-2</v>
      </c>
      <c r="AI72" s="19">
        <f t="shared" si="49"/>
        <v>1.3359816873576937</v>
      </c>
      <c r="AJ72" s="19">
        <f t="shared" si="40"/>
        <v>0</v>
      </c>
      <c r="AK72" s="19">
        <f t="shared" si="50"/>
        <v>51.458062133258295</v>
      </c>
      <c r="AL72" s="23">
        <f t="shared" si="41"/>
        <v>1034.1830621332583</v>
      </c>
      <c r="AM72" s="22">
        <f>(1/(2*LOG(3.7*($I72-0.008)/'Calculation Constants'!$B$5*1000)))^2</f>
        <v>1.4542845531075887E-2</v>
      </c>
      <c r="AN72" s="19">
        <f t="shared" si="51"/>
        <v>1.6249731396833385</v>
      </c>
      <c r="AO72" s="19">
        <f>IF($H72&gt;0,'Calculation Constants'!$B$9*Hydraulics!$K72^2/2/9.81/MAX($F$4:$F$263)*$H72,"")</f>
        <v>6.098258683766869E-2</v>
      </c>
      <c r="AP72" s="19">
        <f t="shared" si="52"/>
        <v>1.6859557265210072</v>
      </c>
      <c r="AQ72" s="19">
        <f t="shared" si="42"/>
        <v>0</v>
      </c>
      <c r="AR72" s="19">
        <f t="shared" si="53"/>
        <v>31.159567861776054</v>
      </c>
      <c r="AS72" s="23">
        <f t="shared" si="43"/>
        <v>1013.8845678617761</v>
      </c>
    </row>
    <row r="73" spans="5:45">
      <c r="E73" s="35" t="str">
        <f t="shared" si="29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4"/>
        <v>2</v>
      </c>
      <c r="I73" s="19">
        <v>1.9</v>
      </c>
      <c r="J73" s="36">
        <f>'Flow Rate Calculations'!$B$7</f>
        <v>4.0831050228310497</v>
      </c>
      <c r="K73" s="36">
        <f t="shared" si="44"/>
        <v>1.440102709245225</v>
      </c>
      <c r="L73" s="37">
        <f>$I73*$K73/'Calculation Constants'!$B$7</f>
        <v>2421411.6350140949</v>
      </c>
      <c r="M73" s="37">
        <f t="shared" si="30"/>
        <v>134.1110000000001</v>
      </c>
      <c r="N73" s="23">
        <f t="shared" si="45"/>
        <v>73.596995399049547</v>
      </c>
      <c r="O73" s="57">
        <f t="shared" si="31"/>
        <v>134.1110000000001</v>
      </c>
      <c r="P73" s="66">
        <f>MAX(I73*1000/'Calculation Constants'!$B$14,O73*10*I73*1000/2/('Calculation Constants'!$B$12*1000*'Calculation Constants'!$B$13))</f>
        <v>11.875</v>
      </c>
      <c r="Q73" s="68">
        <f t="shared" si="32"/>
        <v>1105894.9783427313</v>
      </c>
      <c r="R73" s="27">
        <f>(1/(2*LOG(3.7*$I73/'Calculation Constants'!$B$2*1000)))^2</f>
        <v>8.6699836115820689E-3</v>
      </c>
      <c r="S73" s="19">
        <f t="shared" si="46"/>
        <v>0.96467850809376621</v>
      </c>
      <c r="T73" s="19">
        <f>IF($H73&gt;0,'Calculation Constants'!$B$9*Hydraulics!$K73^2/2/9.81/MAX($F$4:$F$263)*$H73,"")</f>
        <v>6.098258683766869E-2</v>
      </c>
      <c r="U73" s="19">
        <f t="shared" si="47"/>
        <v>1.0256610949314349</v>
      </c>
      <c r="V73" s="19">
        <f t="shared" si="33"/>
        <v>0</v>
      </c>
      <c r="W73" s="19">
        <f t="shared" si="34"/>
        <v>73.596995399049547</v>
      </c>
      <c r="X73" s="23">
        <f t="shared" si="35"/>
        <v>1051.1559953990495</v>
      </c>
      <c r="Y73" s="22">
        <f>(1/(2*LOG(3.7*$I73/'Calculation Constants'!$B$3*1000)))^2</f>
        <v>9.7303620360708887E-3</v>
      </c>
      <c r="Z73" s="19">
        <f t="shared" si="36"/>
        <v>1.0826630767363397</v>
      </c>
      <c r="AA73" s="19">
        <f>IF($H73&gt;0,'Calculation Constants'!$B$9*Hydraulics!$K73^2/2/9.81/MAX($F$4:$F$263)*$H73,"")</f>
        <v>6.098258683766869E-2</v>
      </c>
      <c r="AB73" s="19">
        <f t="shared" si="55"/>
        <v>1.1436456635740084</v>
      </c>
      <c r="AC73" s="19">
        <f t="shared" si="37"/>
        <v>0</v>
      </c>
      <c r="AD73" s="19">
        <f t="shared" si="48"/>
        <v>66.635905849132087</v>
      </c>
      <c r="AE73" s="23">
        <f t="shared" si="38"/>
        <v>1044.1949058491321</v>
      </c>
      <c r="AF73" s="27">
        <f>(1/(2*LOG(3.7*$I73/'Calculation Constants'!$B$4*1000)))^2</f>
        <v>1.1458969193927592E-2</v>
      </c>
      <c r="AG73" s="19">
        <f t="shared" si="39"/>
        <v>1.274999100520025</v>
      </c>
      <c r="AH73" s="19">
        <f>IF($H73&gt;0,'Calculation Constants'!$B$9*Hydraulics!$K73^2/2/9.81/MAX($F$4:$F$263)*$H73,"")</f>
        <v>6.098258683766869E-2</v>
      </c>
      <c r="AI73" s="19">
        <f t="shared" si="49"/>
        <v>1.3359816873576937</v>
      </c>
      <c r="AJ73" s="19">
        <f t="shared" si="40"/>
        <v>0</v>
      </c>
      <c r="AK73" s="19">
        <f t="shared" si="50"/>
        <v>55.288080445900732</v>
      </c>
      <c r="AL73" s="23">
        <f t="shared" si="41"/>
        <v>1032.8470804459007</v>
      </c>
      <c r="AM73" s="22">
        <f>(1/(2*LOG(3.7*($I73-0.008)/'Calculation Constants'!$B$5*1000)))^2</f>
        <v>1.4542845531075887E-2</v>
      </c>
      <c r="AN73" s="19">
        <f t="shared" si="51"/>
        <v>1.6249731396833385</v>
      </c>
      <c r="AO73" s="19">
        <f>IF($H73&gt;0,'Calculation Constants'!$B$9*Hydraulics!$K73^2/2/9.81/MAX($F$4:$F$263)*$H73,"")</f>
        <v>6.098258683766869E-2</v>
      </c>
      <c r="AP73" s="19">
        <f t="shared" si="52"/>
        <v>1.6859557265210072</v>
      </c>
      <c r="AQ73" s="19">
        <f t="shared" si="42"/>
        <v>0</v>
      </c>
      <c r="AR73" s="19">
        <f t="shared" si="53"/>
        <v>34.639612135255106</v>
      </c>
      <c r="AS73" s="23">
        <f t="shared" si="43"/>
        <v>1012.1986121352551</v>
      </c>
    </row>
    <row r="74" spans="5:45">
      <c r="E74" s="35" t="str">
        <f t="shared" si="29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4"/>
        <v>2</v>
      </c>
      <c r="I74" s="19">
        <v>1.9</v>
      </c>
      <c r="J74" s="36">
        <f>'Flow Rate Calculations'!$B$7</f>
        <v>4.0831050228310497</v>
      </c>
      <c r="K74" s="36">
        <f t="shared" si="44"/>
        <v>1.440102709245225</v>
      </c>
      <c r="L74" s="37">
        <f>$I74*$K74/'Calculation Constants'!$B$7</f>
        <v>2421411.6350140949</v>
      </c>
      <c r="M74" s="37">
        <f t="shared" si="30"/>
        <v>136.38100000000009</v>
      </c>
      <c r="N74" s="23">
        <f t="shared" si="45"/>
        <v>74.841334304118163</v>
      </c>
      <c r="O74" s="57">
        <f t="shared" si="31"/>
        <v>136.38100000000009</v>
      </c>
      <c r="P74" s="66">
        <f>MAX(I74*1000/'Calculation Constants'!$B$14,O74*10*I74*1000/2/('Calculation Constants'!$B$12*1000*'Calculation Constants'!$B$13))</f>
        <v>11.875</v>
      </c>
      <c r="Q74" s="68">
        <f t="shared" si="32"/>
        <v>1105894.9783427313</v>
      </c>
      <c r="R74" s="27">
        <f>(1/(2*LOG(3.7*$I74/'Calculation Constants'!$B$2*1000)))^2</f>
        <v>8.6699836115820689E-3</v>
      </c>
      <c r="S74" s="19">
        <f t="shared" si="46"/>
        <v>0.96467850809376621</v>
      </c>
      <c r="T74" s="19">
        <f>IF($H74&gt;0,'Calculation Constants'!$B$9*Hydraulics!$K74^2/2/9.81/MAX($F$4:$F$263)*$H74,"")</f>
        <v>6.098258683766869E-2</v>
      </c>
      <c r="U74" s="19">
        <f t="shared" si="47"/>
        <v>1.0256610949314349</v>
      </c>
      <c r="V74" s="19">
        <f t="shared" si="33"/>
        <v>0</v>
      </c>
      <c r="W74" s="19">
        <f t="shared" si="34"/>
        <v>74.841334304118163</v>
      </c>
      <c r="X74" s="23">
        <f t="shared" si="35"/>
        <v>1050.1303343041182</v>
      </c>
      <c r="Y74" s="22">
        <f>(1/(2*LOG(3.7*$I74/'Calculation Constants'!$B$3*1000)))^2</f>
        <v>9.7303620360708887E-3</v>
      </c>
      <c r="Z74" s="19">
        <f t="shared" si="36"/>
        <v>1.0826630767363397</v>
      </c>
      <c r="AA74" s="19">
        <f>IF($H74&gt;0,'Calculation Constants'!$B$9*Hydraulics!$K74^2/2/9.81/MAX($F$4:$F$263)*$H74,"")</f>
        <v>6.098258683766869E-2</v>
      </c>
      <c r="AB74" s="19">
        <f t="shared" si="55"/>
        <v>1.1436456635740084</v>
      </c>
      <c r="AC74" s="19">
        <f t="shared" si="37"/>
        <v>0</v>
      </c>
      <c r="AD74" s="19">
        <f t="shared" si="48"/>
        <v>67.762260185558034</v>
      </c>
      <c r="AE74" s="23">
        <f t="shared" si="38"/>
        <v>1043.051260185558</v>
      </c>
      <c r="AF74" s="27">
        <f>(1/(2*LOG(3.7*$I74/'Calculation Constants'!$B$4*1000)))^2</f>
        <v>1.1458969193927592E-2</v>
      </c>
      <c r="AG74" s="19">
        <f t="shared" si="39"/>
        <v>1.274999100520025</v>
      </c>
      <c r="AH74" s="19">
        <f>IF($H74&gt;0,'Calculation Constants'!$B$9*Hydraulics!$K74^2/2/9.81/MAX($F$4:$F$263)*$H74,"")</f>
        <v>6.098258683766869E-2</v>
      </c>
      <c r="AI74" s="19">
        <f t="shared" si="49"/>
        <v>1.3359816873576937</v>
      </c>
      <c r="AJ74" s="19">
        <f t="shared" si="40"/>
        <v>0</v>
      </c>
      <c r="AK74" s="19">
        <f t="shared" si="50"/>
        <v>56.222098758543098</v>
      </c>
      <c r="AL74" s="23">
        <f t="shared" si="41"/>
        <v>1031.5110987585431</v>
      </c>
      <c r="AM74" s="22">
        <f>(1/(2*LOG(3.7*($I74-0.008)/'Calculation Constants'!$B$5*1000)))^2</f>
        <v>1.4542845531075887E-2</v>
      </c>
      <c r="AN74" s="19">
        <f t="shared" si="51"/>
        <v>1.6249731396833385</v>
      </c>
      <c r="AO74" s="19">
        <f>IF($H74&gt;0,'Calculation Constants'!$B$9*Hydraulics!$K74^2/2/9.81/MAX($F$4:$F$263)*$H74,"")</f>
        <v>6.098258683766869E-2</v>
      </c>
      <c r="AP74" s="19">
        <f t="shared" si="52"/>
        <v>1.6859557265210072</v>
      </c>
      <c r="AQ74" s="19">
        <f t="shared" si="42"/>
        <v>0</v>
      </c>
      <c r="AR74" s="19">
        <f t="shared" si="53"/>
        <v>35.223656408734087</v>
      </c>
      <c r="AS74" s="23">
        <f t="shared" si="43"/>
        <v>1010.5126564087341</v>
      </c>
    </row>
    <row r="75" spans="5:45">
      <c r="E75" s="35" t="str">
        <f t="shared" si="29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4"/>
        <v>2</v>
      </c>
      <c r="I75" s="19">
        <v>1.9</v>
      </c>
      <c r="J75" s="36">
        <f>'Flow Rate Calculations'!$B$7</f>
        <v>4.0831050228310497</v>
      </c>
      <c r="K75" s="36">
        <f t="shared" si="44"/>
        <v>1.440102709245225</v>
      </c>
      <c r="L75" s="37">
        <f>$I75*$K75/'Calculation Constants'!$B$7</f>
        <v>2421411.6350140949</v>
      </c>
      <c r="M75" s="37">
        <f t="shared" si="30"/>
        <v>137.70200000000011</v>
      </c>
      <c r="N75" s="23">
        <f t="shared" si="45"/>
        <v>75.136673209186824</v>
      </c>
      <c r="O75" s="57">
        <f t="shared" si="31"/>
        <v>137.70200000000011</v>
      </c>
      <c r="P75" s="66">
        <f>MAX(I75*1000/'Calculation Constants'!$B$14,O75*10*I75*1000/2/('Calculation Constants'!$B$12*1000*'Calculation Constants'!$B$13))</f>
        <v>11.875</v>
      </c>
      <c r="Q75" s="68">
        <f t="shared" si="32"/>
        <v>1105894.9783427313</v>
      </c>
      <c r="R75" s="27">
        <f>(1/(2*LOG(3.7*$I75/'Calculation Constants'!$B$2*1000)))^2</f>
        <v>8.6699836115820689E-3</v>
      </c>
      <c r="S75" s="19">
        <f t="shared" si="46"/>
        <v>0.96467850809376621</v>
      </c>
      <c r="T75" s="19">
        <f>IF($H75&gt;0,'Calculation Constants'!$B$9*Hydraulics!$K75^2/2/9.81/MAX($F$4:$F$263)*$H75,"")</f>
        <v>6.098258683766869E-2</v>
      </c>
      <c r="U75" s="19">
        <f t="shared" si="47"/>
        <v>1.0256610949314349</v>
      </c>
      <c r="V75" s="19">
        <f t="shared" si="33"/>
        <v>0</v>
      </c>
      <c r="W75" s="19">
        <f t="shared" si="34"/>
        <v>75.136673209186824</v>
      </c>
      <c r="X75" s="23">
        <f t="shared" si="35"/>
        <v>1049.1046732091868</v>
      </c>
      <c r="Y75" s="22">
        <f>(1/(2*LOG(3.7*$I75/'Calculation Constants'!$B$3*1000)))^2</f>
        <v>9.7303620360708887E-3</v>
      </c>
      <c r="Z75" s="19">
        <f t="shared" si="36"/>
        <v>1.0826630767363397</v>
      </c>
      <c r="AA75" s="19">
        <f>IF($H75&gt;0,'Calculation Constants'!$B$9*Hydraulics!$K75^2/2/9.81/MAX($F$4:$F$263)*$H75,"")</f>
        <v>6.098258683766869E-2</v>
      </c>
      <c r="AB75" s="19">
        <f t="shared" si="55"/>
        <v>1.1436456635740084</v>
      </c>
      <c r="AC75" s="19">
        <f t="shared" si="37"/>
        <v>0</v>
      </c>
      <c r="AD75" s="19">
        <f t="shared" si="48"/>
        <v>67.939614521984026</v>
      </c>
      <c r="AE75" s="23">
        <f t="shared" si="38"/>
        <v>1041.907614521984</v>
      </c>
      <c r="AF75" s="27">
        <f>(1/(2*LOG(3.7*$I75/'Calculation Constants'!$B$4*1000)))^2</f>
        <v>1.1458969193927592E-2</v>
      </c>
      <c r="AG75" s="19">
        <f t="shared" si="39"/>
        <v>1.274999100520025</v>
      </c>
      <c r="AH75" s="19">
        <f>IF($H75&gt;0,'Calculation Constants'!$B$9*Hydraulics!$K75^2/2/9.81/MAX($F$4:$F$263)*$H75,"")</f>
        <v>6.098258683766869E-2</v>
      </c>
      <c r="AI75" s="19">
        <f t="shared" si="49"/>
        <v>1.3359816873576937</v>
      </c>
      <c r="AJ75" s="19">
        <f t="shared" si="40"/>
        <v>0</v>
      </c>
      <c r="AK75" s="19">
        <f t="shared" si="50"/>
        <v>56.207117071185507</v>
      </c>
      <c r="AL75" s="23">
        <f t="shared" si="41"/>
        <v>1030.1751170711855</v>
      </c>
      <c r="AM75" s="22">
        <f>(1/(2*LOG(3.7*($I75-0.008)/'Calculation Constants'!$B$5*1000)))^2</f>
        <v>1.4542845531075887E-2</v>
      </c>
      <c r="AN75" s="19">
        <f t="shared" si="51"/>
        <v>1.6249731396833385</v>
      </c>
      <c r="AO75" s="19">
        <f>IF($H75&gt;0,'Calculation Constants'!$B$9*Hydraulics!$K75^2/2/9.81/MAX($F$4:$F$263)*$H75,"")</f>
        <v>6.098258683766869E-2</v>
      </c>
      <c r="AP75" s="19">
        <f t="shared" si="52"/>
        <v>1.6859557265210072</v>
      </c>
      <c r="AQ75" s="19">
        <f t="shared" si="42"/>
        <v>0</v>
      </c>
      <c r="AR75" s="19">
        <f t="shared" si="53"/>
        <v>34.858700682213112</v>
      </c>
      <c r="AS75" s="23">
        <f t="shared" si="43"/>
        <v>1008.8267006822131</v>
      </c>
    </row>
    <row r="76" spans="5:45">
      <c r="E76" s="35" t="str">
        <f t="shared" si="29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4"/>
        <v>2</v>
      </c>
      <c r="I76" s="19">
        <v>1.9</v>
      </c>
      <c r="J76" s="36">
        <f>'Flow Rate Calculations'!$B$7</f>
        <v>4.0831050228310497</v>
      </c>
      <c r="K76" s="36">
        <f t="shared" si="44"/>
        <v>1.440102709245225</v>
      </c>
      <c r="L76" s="37">
        <f>$I76*$K76/'Calculation Constants'!$B$7</f>
        <v>2421411.6350140949</v>
      </c>
      <c r="M76" s="37">
        <f t="shared" si="30"/>
        <v>149.19700000000012</v>
      </c>
      <c r="N76" s="23">
        <f t="shared" si="45"/>
        <v>85.606012114255464</v>
      </c>
      <c r="O76" s="57">
        <f t="shared" si="31"/>
        <v>149.19700000000012</v>
      </c>
      <c r="P76" s="66">
        <f>MAX(I76*1000/'Calculation Constants'!$B$14,O76*10*I76*1000/2/('Calculation Constants'!$B$12*1000*'Calculation Constants'!$B$13))</f>
        <v>11.875</v>
      </c>
      <c r="Q76" s="68">
        <f t="shared" si="32"/>
        <v>1105894.9783427313</v>
      </c>
      <c r="R76" s="27">
        <f>(1/(2*LOG(3.7*$I76/'Calculation Constants'!$B$2*1000)))^2</f>
        <v>8.6699836115820689E-3</v>
      </c>
      <c r="S76" s="19">
        <f t="shared" si="46"/>
        <v>0.96467850809376621</v>
      </c>
      <c r="T76" s="19">
        <f>IF($H76&gt;0,'Calculation Constants'!$B$9*Hydraulics!$K76^2/2/9.81/MAX($F$4:$F$263)*$H76,"")</f>
        <v>6.098258683766869E-2</v>
      </c>
      <c r="U76" s="19">
        <f t="shared" si="47"/>
        <v>1.0256610949314349</v>
      </c>
      <c r="V76" s="19">
        <f t="shared" si="33"/>
        <v>0</v>
      </c>
      <c r="W76" s="19">
        <f t="shared" si="34"/>
        <v>85.606012114255464</v>
      </c>
      <c r="X76" s="23">
        <f t="shared" si="35"/>
        <v>1048.0790121142554</v>
      </c>
      <c r="Y76" s="22">
        <f>(1/(2*LOG(3.7*$I76/'Calculation Constants'!$B$3*1000)))^2</f>
        <v>9.7303620360708887E-3</v>
      </c>
      <c r="Z76" s="19">
        <f t="shared" si="36"/>
        <v>1.0826630767363397</v>
      </c>
      <c r="AA76" s="19">
        <f>IF($H76&gt;0,'Calculation Constants'!$B$9*Hydraulics!$K76^2/2/9.81/MAX($F$4:$F$263)*$H76,"")</f>
        <v>6.098258683766869E-2</v>
      </c>
      <c r="AB76" s="19">
        <f t="shared" si="55"/>
        <v>1.1436456635740084</v>
      </c>
      <c r="AC76" s="19">
        <f t="shared" si="37"/>
        <v>0</v>
      </c>
      <c r="AD76" s="19">
        <f t="shared" si="48"/>
        <v>78.290968858409997</v>
      </c>
      <c r="AE76" s="23">
        <f t="shared" si="38"/>
        <v>1040.76396885841</v>
      </c>
      <c r="AF76" s="27">
        <f>(1/(2*LOG(3.7*$I76/'Calculation Constants'!$B$4*1000)))^2</f>
        <v>1.1458969193927592E-2</v>
      </c>
      <c r="AG76" s="19">
        <f t="shared" si="39"/>
        <v>1.274999100520025</v>
      </c>
      <c r="AH76" s="19">
        <f>IF($H76&gt;0,'Calculation Constants'!$B$9*Hydraulics!$K76^2/2/9.81/MAX($F$4:$F$263)*$H76,"")</f>
        <v>6.098258683766869E-2</v>
      </c>
      <c r="AI76" s="19">
        <f t="shared" si="49"/>
        <v>1.3359816873576937</v>
      </c>
      <c r="AJ76" s="19">
        <f t="shared" si="40"/>
        <v>0</v>
      </c>
      <c r="AK76" s="19">
        <f t="shared" si="50"/>
        <v>66.366135383827896</v>
      </c>
      <c r="AL76" s="23">
        <f t="shared" si="41"/>
        <v>1028.8391353838279</v>
      </c>
      <c r="AM76" s="22">
        <f>(1/(2*LOG(3.7*($I76-0.008)/'Calculation Constants'!$B$5*1000)))^2</f>
        <v>1.4542845531075887E-2</v>
      </c>
      <c r="AN76" s="19">
        <f t="shared" si="51"/>
        <v>1.6249731396833385</v>
      </c>
      <c r="AO76" s="19">
        <f>IF($H76&gt;0,'Calculation Constants'!$B$9*Hydraulics!$K76^2/2/9.81/MAX($F$4:$F$263)*$H76,"")</f>
        <v>6.098258683766869E-2</v>
      </c>
      <c r="AP76" s="19">
        <f t="shared" si="52"/>
        <v>1.6859557265210072</v>
      </c>
      <c r="AQ76" s="19">
        <f t="shared" si="42"/>
        <v>0</v>
      </c>
      <c r="AR76" s="19">
        <f t="shared" si="53"/>
        <v>44.667744955692115</v>
      </c>
      <c r="AS76" s="23">
        <f t="shared" si="43"/>
        <v>1007.1407449556921</v>
      </c>
    </row>
    <row r="77" spans="5:45">
      <c r="E77" s="35" t="str">
        <f t="shared" si="29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4"/>
        <v>2</v>
      </c>
      <c r="I77" s="19">
        <v>1.9</v>
      </c>
      <c r="J77" s="36">
        <f>'Flow Rate Calculations'!$B$7</f>
        <v>4.0831050228310497</v>
      </c>
      <c r="K77" s="36">
        <f t="shared" si="44"/>
        <v>1.440102709245225</v>
      </c>
      <c r="L77" s="37">
        <f>$I77*$K77/'Calculation Constants'!$B$7</f>
        <v>2421411.6350140949</v>
      </c>
      <c r="M77" s="37">
        <f t="shared" si="30"/>
        <v>160.3850000000001</v>
      </c>
      <c r="N77" s="23">
        <f t="shared" si="45"/>
        <v>95.768351019324086</v>
      </c>
      <c r="O77" s="57">
        <f t="shared" si="31"/>
        <v>160.3850000000001</v>
      </c>
      <c r="P77" s="66">
        <f>MAX(I77*1000/'Calculation Constants'!$B$14,O77*10*I77*1000/2/('Calculation Constants'!$B$12*1000*'Calculation Constants'!$B$13))</f>
        <v>11.875</v>
      </c>
      <c r="Q77" s="68">
        <f t="shared" si="32"/>
        <v>1105894.9783427313</v>
      </c>
      <c r="R77" s="27">
        <f>(1/(2*LOG(3.7*$I77/'Calculation Constants'!$B$2*1000)))^2</f>
        <v>8.6699836115820689E-3</v>
      </c>
      <c r="S77" s="19">
        <f t="shared" si="46"/>
        <v>0.96467850809376621</v>
      </c>
      <c r="T77" s="19">
        <f>IF($H77&gt;0,'Calculation Constants'!$B$9*Hydraulics!$K77^2/2/9.81/MAX($F$4:$F$263)*$H77,"")</f>
        <v>6.098258683766869E-2</v>
      </c>
      <c r="U77" s="19">
        <f t="shared" si="47"/>
        <v>1.0256610949314349</v>
      </c>
      <c r="V77" s="19">
        <f t="shared" si="33"/>
        <v>0</v>
      </c>
      <c r="W77" s="19">
        <f t="shared" si="34"/>
        <v>95.768351019324086</v>
      </c>
      <c r="X77" s="23">
        <f t="shared" si="35"/>
        <v>1047.0533510193241</v>
      </c>
      <c r="Y77" s="22">
        <f>(1/(2*LOG(3.7*$I77/'Calculation Constants'!$B$3*1000)))^2</f>
        <v>9.7303620360708887E-3</v>
      </c>
      <c r="Z77" s="19">
        <f t="shared" si="36"/>
        <v>1.0826630767363397</v>
      </c>
      <c r="AA77" s="19">
        <f>IF($H77&gt;0,'Calculation Constants'!$B$9*Hydraulics!$K77^2/2/9.81/MAX($F$4:$F$263)*$H77,"")</f>
        <v>6.098258683766869E-2</v>
      </c>
      <c r="AB77" s="19">
        <f t="shared" si="55"/>
        <v>1.1436456635740084</v>
      </c>
      <c r="AC77" s="19">
        <f t="shared" si="37"/>
        <v>0</v>
      </c>
      <c r="AD77" s="19">
        <f t="shared" si="48"/>
        <v>88.335323194835951</v>
      </c>
      <c r="AE77" s="23">
        <f t="shared" si="38"/>
        <v>1039.6203231948359</v>
      </c>
      <c r="AF77" s="27">
        <f>(1/(2*LOG(3.7*$I77/'Calculation Constants'!$B$4*1000)))^2</f>
        <v>1.1458969193927592E-2</v>
      </c>
      <c r="AG77" s="19">
        <f t="shared" si="39"/>
        <v>1.274999100520025</v>
      </c>
      <c r="AH77" s="19">
        <f>IF($H77&gt;0,'Calculation Constants'!$B$9*Hydraulics!$K77^2/2/9.81/MAX($F$4:$F$263)*$H77,"")</f>
        <v>6.098258683766869E-2</v>
      </c>
      <c r="AI77" s="19">
        <f t="shared" si="49"/>
        <v>1.3359816873576937</v>
      </c>
      <c r="AJ77" s="19">
        <f t="shared" si="40"/>
        <v>0</v>
      </c>
      <c r="AK77" s="19">
        <f t="shared" si="50"/>
        <v>76.218153696470267</v>
      </c>
      <c r="AL77" s="23">
        <f t="shared" si="41"/>
        <v>1027.5031536964702</v>
      </c>
      <c r="AM77" s="22">
        <f>(1/(2*LOG(3.7*($I77-0.008)/'Calculation Constants'!$B$5*1000)))^2</f>
        <v>1.4542845531075887E-2</v>
      </c>
      <c r="AN77" s="19">
        <f t="shared" si="51"/>
        <v>1.6249731396833385</v>
      </c>
      <c r="AO77" s="19">
        <f>IF($H77&gt;0,'Calculation Constants'!$B$9*Hydraulics!$K77^2/2/9.81/MAX($F$4:$F$263)*$H77,"")</f>
        <v>6.098258683766869E-2</v>
      </c>
      <c r="AP77" s="19">
        <f t="shared" si="52"/>
        <v>1.6859557265210072</v>
      </c>
      <c r="AQ77" s="19">
        <f t="shared" si="42"/>
        <v>0</v>
      </c>
      <c r="AR77" s="19">
        <f t="shared" si="53"/>
        <v>54.169789229171101</v>
      </c>
      <c r="AS77" s="23">
        <f t="shared" si="43"/>
        <v>1005.4547892291711</v>
      </c>
    </row>
    <row r="78" spans="5:45">
      <c r="E78" s="35" t="str">
        <f t="shared" si="29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4"/>
        <v>2</v>
      </c>
      <c r="I78" s="19">
        <v>1.9</v>
      </c>
      <c r="J78" s="36">
        <f>'Flow Rate Calculations'!$B$7</f>
        <v>4.0831050228310497</v>
      </c>
      <c r="K78" s="36">
        <f t="shared" si="44"/>
        <v>1.440102709245225</v>
      </c>
      <c r="L78" s="37">
        <f>$I78*$K78/'Calculation Constants'!$B$7</f>
        <v>2421411.6350140949</v>
      </c>
      <c r="M78" s="37">
        <f t="shared" si="30"/>
        <v>163.49600000000009</v>
      </c>
      <c r="N78" s="23">
        <f t="shared" si="45"/>
        <v>97.853689924392711</v>
      </c>
      <c r="O78" s="57">
        <f t="shared" si="31"/>
        <v>163.49600000000009</v>
      </c>
      <c r="P78" s="66">
        <f>MAX(I78*1000/'Calculation Constants'!$B$14,O78*10*I78*1000/2/('Calculation Constants'!$B$12*1000*'Calculation Constants'!$B$13))</f>
        <v>11.875</v>
      </c>
      <c r="Q78" s="68">
        <f t="shared" si="32"/>
        <v>1105894.9783427313</v>
      </c>
      <c r="R78" s="27">
        <f>(1/(2*LOG(3.7*$I78/'Calculation Constants'!$B$2*1000)))^2</f>
        <v>8.6699836115820689E-3</v>
      </c>
      <c r="S78" s="19">
        <f t="shared" si="46"/>
        <v>0.96467850809376621</v>
      </c>
      <c r="T78" s="19">
        <f>IF($H78&gt;0,'Calculation Constants'!$B$9*Hydraulics!$K78^2/2/9.81/MAX($F$4:$F$263)*$H78,"")</f>
        <v>6.098258683766869E-2</v>
      </c>
      <c r="U78" s="19">
        <f t="shared" si="47"/>
        <v>1.0256610949314349</v>
      </c>
      <c r="V78" s="19">
        <f t="shared" si="33"/>
        <v>0</v>
      </c>
      <c r="W78" s="19">
        <f t="shared" si="34"/>
        <v>97.853689924392711</v>
      </c>
      <c r="X78" s="23">
        <f t="shared" si="35"/>
        <v>1046.0276899243927</v>
      </c>
      <c r="Y78" s="22">
        <f>(1/(2*LOG(3.7*$I78/'Calculation Constants'!$B$3*1000)))^2</f>
        <v>9.7303620360708887E-3</v>
      </c>
      <c r="Z78" s="19">
        <f t="shared" si="36"/>
        <v>1.0826630767363397</v>
      </c>
      <c r="AA78" s="19">
        <f>IF($H78&gt;0,'Calculation Constants'!$B$9*Hydraulics!$K78^2/2/9.81/MAX($F$4:$F$263)*$H78,"")</f>
        <v>6.098258683766869E-2</v>
      </c>
      <c r="AB78" s="19">
        <f t="shared" si="55"/>
        <v>1.1436456635740084</v>
      </c>
      <c r="AC78" s="19">
        <f t="shared" si="37"/>
        <v>0</v>
      </c>
      <c r="AD78" s="19">
        <f t="shared" si="48"/>
        <v>90.302677531261907</v>
      </c>
      <c r="AE78" s="23">
        <f t="shared" si="38"/>
        <v>1038.4766775312619</v>
      </c>
      <c r="AF78" s="27">
        <f>(1/(2*LOG(3.7*$I78/'Calculation Constants'!$B$4*1000)))^2</f>
        <v>1.1458969193927592E-2</v>
      </c>
      <c r="AG78" s="19">
        <f t="shared" si="39"/>
        <v>1.274999100520025</v>
      </c>
      <c r="AH78" s="19">
        <f>IF($H78&gt;0,'Calculation Constants'!$B$9*Hydraulics!$K78^2/2/9.81/MAX($F$4:$F$263)*$H78,"")</f>
        <v>6.098258683766869E-2</v>
      </c>
      <c r="AI78" s="19">
        <f t="shared" si="49"/>
        <v>1.3359816873576937</v>
      </c>
      <c r="AJ78" s="19">
        <f t="shared" si="40"/>
        <v>0</v>
      </c>
      <c r="AK78" s="19">
        <f t="shared" si="50"/>
        <v>77.993172009112641</v>
      </c>
      <c r="AL78" s="23">
        <f t="shared" si="41"/>
        <v>1026.1671720091126</v>
      </c>
      <c r="AM78" s="22">
        <f>(1/(2*LOG(3.7*($I78-0.008)/'Calculation Constants'!$B$5*1000)))^2</f>
        <v>1.4542845531075887E-2</v>
      </c>
      <c r="AN78" s="19">
        <f t="shared" si="51"/>
        <v>1.6249731396833385</v>
      </c>
      <c r="AO78" s="19">
        <f>IF($H78&gt;0,'Calculation Constants'!$B$9*Hydraulics!$K78^2/2/9.81/MAX($F$4:$F$263)*$H78,"")</f>
        <v>6.098258683766869E-2</v>
      </c>
      <c r="AP78" s="19">
        <f t="shared" si="52"/>
        <v>1.6859557265210072</v>
      </c>
      <c r="AQ78" s="19">
        <f t="shared" si="42"/>
        <v>0</v>
      </c>
      <c r="AR78" s="19">
        <f t="shared" si="53"/>
        <v>55.59483350265009</v>
      </c>
      <c r="AS78" s="23">
        <f t="shared" si="43"/>
        <v>1003.7688335026501</v>
      </c>
    </row>
    <row r="79" spans="5:45">
      <c r="E79" s="35" t="str">
        <f t="shared" si="29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4"/>
        <v>2</v>
      </c>
      <c r="I79" s="19">
        <v>1.9</v>
      </c>
      <c r="J79" s="36">
        <f>'Flow Rate Calculations'!$B$7</f>
        <v>4.0831050228310497</v>
      </c>
      <c r="K79" s="36">
        <f t="shared" si="44"/>
        <v>1.440102709245225</v>
      </c>
      <c r="L79" s="37">
        <f>$I79*$K79/'Calculation Constants'!$B$7</f>
        <v>2421411.6350140949</v>
      </c>
      <c r="M79" s="37">
        <f t="shared" si="30"/>
        <v>167.02900000000011</v>
      </c>
      <c r="N79" s="23">
        <f t="shared" si="45"/>
        <v>100.36102882946136</v>
      </c>
      <c r="O79" s="57">
        <f t="shared" si="31"/>
        <v>167.02900000000011</v>
      </c>
      <c r="P79" s="66">
        <f>MAX(I79*1000/'Calculation Constants'!$B$14,O79*10*I79*1000/2/('Calculation Constants'!$B$12*1000*'Calculation Constants'!$B$13))</f>
        <v>11.875</v>
      </c>
      <c r="Q79" s="68">
        <f t="shared" si="32"/>
        <v>1105894.9783427313</v>
      </c>
      <c r="R79" s="27">
        <f>(1/(2*LOG(3.7*$I79/'Calculation Constants'!$B$2*1000)))^2</f>
        <v>8.6699836115820689E-3</v>
      </c>
      <c r="S79" s="19">
        <f t="shared" si="46"/>
        <v>0.96467850809376621</v>
      </c>
      <c r="T79" s="19">
        <f>IF($H79&gt;0,'Calculation Constants'!$B$9*Hydraulics!$K79^2/2/9.81/MAX($F$4:$F$263)*$H79,"")</f>
        <v>6.098258683766869E-2</v>
      </c>
      <c r="U79" s="19">
        <f t="shared" si="47"/>
        <v>1.0256610949314349</v>
      </c>
      <c r="V79" s="19">
        <f t="shared" si="33"/>
        <v>0</v>
      </c>
      <c r="W79" s="19">
        <f t="shared" si="34"/>
        <v>100.36102882946136</v>
      </c>
      <c r="X79" s="23">
        <f t="shared" si="35"/>
        <v>1045.0020288294613</v>
      </c>
      <c r="Y79" s="22">
        <f>(1/(2*LOG(3.7*$I79/'Calculation Constants'!$B$3*1000)))^2</f>
        <v>9.7303620360708887E-3</v>
      </c>
      <c r="Z79" s="19">
        <f t="shared" si="36"/>
        <v>1.0826630767363397</v>
      </c>
      <c r="AA79" s="19">
        <f>IF($H79&gt;0,'Calculation Constants'!$B$9*Hydraulics!$K79^2/2/9.81/MAX($F$4:$F$263)*$H79,"")</f>
        <v>6.098258683766869E-2</v>
      </c>
      <c r="AB79" s="19">
        <f t="shared" si="55"/>
        <v>1.1436456635740084</v>
      </c>
      <c r="AC79" s="19">
        <f t="shared" si="37"/>
        <v>0</v>
      </c>
      <c r="AD79" s="19">
        <f t="shared" si="48"/>
        <v>92.692031867687888</v>
      </c>
      <c r="AE79" s="23">
        <f t="shared" si="38"/>
        <v>1037.3330318676879</v>
      </c>
      <c r="AF79" s="27">
        <f>(1/(2*LOG(3.7*$I79/'Calculation Constants'!$B$4*1000)))^2</f>
        <v>1.1458969193927592E-2</v>
      </c>
      <c r="AG79" s="19">
        <f t="shared" si="39"/>
        <v>1.274999100520025</v>
      </c>
      <c r="AH79" s="19">
        <f>IF($H79&gt;0,'Calculation Constants'!$B$9*Hydraulics!$K79^2/2/9.81/MAX($F$4:$F$263)*$H79,"")</f>
        <v>6.098258683766869E-2</v>
      </c>
      <c r="AI79" s="19">
        <f t="shared" si="49"/>
        <v>1.3359816873576937</v>
      </c>
      <c r="AJ79" s="19">
        <f t="shared" si="40"/>
        <v>0</v>
      </c>
      <c r="AK79" s="19">
        <f t="shared" si="50"/>
        <v>80.19019032175504</v>
      </c>
      <c r="AL79" s="23">
        <f t="shared" si="41"/>
        <v>1024.831190321755</v>
      </c>
      <c r="AM79" s="22">
        <f>(1/(2*LOG(3.7*($I79-0.008)/'Calculation Constants'!$B$5*1000)))^2</f>
        <v>1.4542845531075887E-2</v>
      </c>
      <c r="AN79" s="19">
        <f t="shared" si="51"/>
        <v>1.6249731396833385</v>
      </c>
      <c r="AO79" s="19">
        <f>IF($H79&gt;0,'Calculation Constants'!$B$9*Hydraulics!$K79^2/2/9.81/MAX($F$4:$F$263)*$H79,"")</f>
        <v>6.098258683766869E-2</v>
      </c>
      <c r="AP79" s="19">
        <f t="shared" si="52"/>
        <v>1.6859557265210072</v>
      </c>
      <c r="AQ79" s="19">
        <f t="shared" si="42"/>
        <v>0</v>
      </c>
      <c r="AR79" s="19">
        <f t="shared" si="53"/>
        <v>57.441877776129104</v>
      </c>
      <c r="AS79" s="23">
        <f t="shared" si="43"/>
        <v>1002.0828777761291</v>
      </c>
    </row>
    <row r="80" spans="5:45">
      <c r="E80" s="35" t="str">
        <f t="shared" si="29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4"/>
        <v>2</v>
      </c>
      <c r="I80" s="19">
        <v>1.9</v>
      </c>
      <c r="J80" s="36">
        <f>'Flow Rate Calculations'!$B$7</f>
        <v>4.0831050228310497</v>
      </c>
      <c r="K80" s="36">
        <f t="shared" si="44"/>
        <v>1.440102709245225</v>
      </c>
      <c r="L80" s="37">
        <f>$I80*$K80/'Calculation Constants'!$B$7</f>
        <v>2421411.6350140949</v>
      </c>
      <c r="M80" s="37">
        <f t="shared" si="30"/>
        <v>170.10400000000004</v>
      </c>
      <c r="N80" s="23">
        <f t="shared" si="45"/>
        <v>102.41036773452993</v>
      </c>
      <c r="O80" s="57">
        <f t="shared" si="31"/>
        <v>170.10400000000004</v>
      </c>
      <c r="P80" s="66">
        <f>MAX(I80*1000/'Calculation Constants'!$B$14,O80*10*I80*1000/2/('Calculation Constants'!$B$12*1000*'Calculation Constants'!$B$13))</f>
        <v>11.875</v>
      </c>
      <c r="Q80" s="68">
        <f t="shared" si="32"/>
        <v>1105894.9783427313</v>
      </c>
      <c r="R80" s="27">
        <f>(1/(2*LOG(3.7*$I80/'Calculation Constants'!$B$2*1000)))^2</f>
        <v>8.6699836115820689E-3</v>
      </c>
      <c r="S80" s="19">
        <f t="shared" si="46"/>
        <v>0.96467850809376621</v>
      </c>
      <c r="T80" s="19">
        <f>IF($H80&gt;0,'Calculation Constants'!$B$9*Hydraulics!$K80^2/2/9.81/MAX($F$4:$F$263)*$H80,"")</f>
        <v>6.098258683766869E-2</v>
      </c>
      <c r="U80" s="19">
        <f t="shared" si="47"/>
        <v>1.0256610949314349</v>
      </c>
      <c r="V80" s="19">
        <f t="shared" si="33"/>
        <v>0</v>
      </c>
      <c r="W80" s="19">
        <f t="shared" si="34"/>
        <v>102.41036773452993</v>
      </c>
      <c r="X80" s="23">
        <f t="shared" si="35"/>
        <v>1043.97636773453</v>
      </c>
      <c r="Y80" s="22">
        <f>(1/(2*LOG(3.7*$I80/'Calculation Constants'!$B$3*1000)))^2</f>
        <v>9.7303620360708887E-3</v>
      </c>
      <c r="Z80" s="19">
        <f t="shared" si="36"/>
        <v>1.0826630767363397</v>
      </c>
      <c r="AA80" s="19">
        <f>IF($H80&gt;0,'Calculation Constants'!$B$9*Hydraulics!$K80^2/2/9.81/MAX($F$4:$F$263)*$H80,"")</f>
        <v>6.098258683766869E-2</v>
      </c>
      <c r="AB80" s="19">
        <f t="shared" si="55"/>
        <v>1.1436456635740084</v>
      </c>
      <c r="AC80" s="19">
        <f t="shared" si="37"/>
        <v>0</v>
      </c>
      <c r="AD80" s="19">
        <f t="shared" si="48"/>
        <v>94.623386204113785</v>
      </c>
      <c r="AE80" s="23">
        <f t="shared" si="38"/>
        <v>1036.1893862041138</v>
      </c>
      <c r="AF80" s="27">
        <f>(1/(2*LOG(3.7*$I80/'Calculation Constants'!$B$4*1000)))^2</f>
        <v>1.1458969193927592E-2</v>
      </c>
      <c r="AG80" s="19">
        <f t="shared" si="39"/>
        <v>1.274999100520025</v>
      </c>
      <c r="AH80" s="19">
        <f>IF($H80&gt;0,'Calculation Constants'!$B$9*Hydraulics!$K80^2/2/9.81/MAX($F$4:$F$263)*$H80,"")</f>
        <v>6.098258683766869E-2</v>
      </c>
      <c r="AI80" s="19">
        <f t="shared" si="49"/>
        <v>1.3359816873576937</v>
      </c>
      <c r="AJ80" s="19">
        <f t="shared" si="40"/>
        <v>0</v>
      </c>
      <c r="AK80" s="19">
        <f t="shared" si="50"/>
        <v>81.929208634397241</v>
      </c>
      <c r="AL80" s="23">
        <f t="shared" si="41"/>
        <v>1023.4952086343973</v>
      </c>
      <c r="AM80" s="22">
        <f>(1/(2*LOG(3.7*($I80-0.008)/'Calculation Constants'!$B$5*1000)))^2</f>
        <v>1.4542845531075887E-2</v>
      </c>
      <c r="AN80" s="19">
        <f t="shared" si="51"/>
        <v>1.6249731396833385</v>
      </c>
      <c r="AO80" s="19">
        <f>IF($H80&gt;0,'Calculation Constants'!$B$9*Hydraulics!$K80^2/2/9.81/MAX($F$4:$F$263)*$H80,"")</f>
        <v>6.098258683766869E-2</v>
      </c>
      <c r="AP80" s="19">
        <f t="shared" si="52"/>
        <v>1.6859557265210072</v>
      </c>
      <c r="AQ80" s="19">
        <f t="shared" si="42"/>
        <v>0</v>
      </c>
      <c r="AR80" s="19">
        <f t="shared" si="53"/>
        <v>58.830922049608034</v>
      </c>
      <c r="AS80" s="23">
        <f t="shared" si="43"/>
        <v>1000.3969220496081</v>
      </c>
    </row>
    <row r="81" spans="5:45">
      <c r="E81" s="35" t="str">
        <f t="shared" si="29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4"/>
        <v>2</v>
      </c>
      <c r="I81" s="19">
        <v>1.9</v>
      </c>
      <c r="J81" s="36">
        <f>'Flow Rate Calculations'!$B$7</f>
        <v>4.0831050228310497</v>
      </c>
      <c r="K81" s="36">
        <f t="shared" si="44"/>
        <v>1.440102709245225</v>
      </c>
      <c r="L81" s="37">
        <f>$I81*$K81/'Calculation Constants'!$B$7</f>
        <v>2421411.6350140949</v>
      </c>
      <c r="M81" s="37">
        <f t="shared" si="30"/>
        <v>170.72800000000007</v>
      </c>
      <c r="N81" s="23">
        <f t="shared" si="45"/>
        <v>102.00870663959859</v>
      </c>
      <c r="O81" s="57">
        <f t="shared" si="31"/>
        <v>170.72800000000007</v>
      </c>
      <c r="P81" s="66">
        <f>MAX(I81*1000/'Calculation Constants'!$B$14,O81*10*I81*1000/2/('Calculation Constants'!$B$12*1000*'Calculation Constants'!$B$13))</f>
        <v>11.875</v>
      </c>
      <c r="Q81" s="68">
        <f t="shared" si="32"/>
        <v>1105894.9783427313</v>
      </c>
      <c r="R81" s="27">
        <f>(1/(2*LOG(3.7*$I81/'Calculation Constants'!$B$2*1000)))^2</f>
        <v>8.6699836115820689E-3</v>
      </c>
      <c r="S81" s="19">
        <f t="shared" si="46"/>
        <v>0.96467850809376621</v>
      </c>
      <c r="T81" s="19">
        <f>IF($H81&gt;0,'Calculation Constants'!$B$9*Hydraulics!$K81^2/2/9.81/MAX($F$4:$F$263)*$H81,"")</f>
        <v>6.098258683766869E-2</v>
      </c>
      <c r="U81" s="19">
        <f t="shared" si="47"/>
        <v>1.0256610949314349</v>
      </c>
      <c r="V81" s="19">
        <f t="shared" si="33"/>
        <v>0</v>
      </c>
      <c r="W81" s="19">
        <f t="shared" si="34"/>
        <v>102.00870663959859</v>
      </c>
      <c r="X81" s="23">
        <f t="shared" si="35"/>
        <v>1042.9507066395986</v>
      </c>
      <c r="Y81" s="22">
        <f>(1/(2*LOG(3.7*$I81/'Calculation Constants'!$B$3*1000)))^2</f>
        <v>9.7303620360708887E-3</v>
      </c>
      <c r="Z81" s="19">
        <f t="shared" si="36"/>
        <v>1.0826630767363397</v>
      </c>
      <c r="AA81" s="19">
        <f>IF($H81&gt;0,'Calculation Constants'!$B$9*Hydraulics!$K81^2/2/9.81/MAX($F$4:$F$263)*$H81,"")</f>
        <v>6.098258683766869E-2</v>
      </c>
      <c r="AB81" s="19">
        <f t="shared" si="55"/>
        <v>1.1436456635740084</v>
      </c>
      <c r="AC81" s="19">
        <f t="shared" si="37"/>
        <v>0</v>
      </c>
      <c r="AD81" s="19">
        <f t="shared" si="48"/>
        <v>94.103740540539775</v>
      </c>
      <c r="AE81" s="23">
        <f t="shared" si="38"/>
        <v>1035.0457405405398</v>
      </c>
      <c r="AF81" s="27">
        <f>(1/(2*LOG(3.7*$I81/'Calculation Constants'!$B$4*1000)))^2</f>
        <v>1.1458969193927592E-2</v>
      </c>
      <c r="AG81" s="19">
        <f t="shared" si="39"/>
        <v>1.274999100520025</v>
      </c>
      <c r="AH81" s="19">
        <f>IF($H81&gt;0,'Calculation Constants'!$B$9*Hydraulics!$K81^2/2/9.81/MAX($F$4:$F$263)*$H81,"")</f>
        <v>6.098258683766869E-2</v>
      </c>
      <c r="AI81" s="19">
        <f t="shared" si="49"/>
        <v>1.3359816873576937</v>
      </c>
      <c r="AJ81" s="19">
        <f t="shared" si="40"/>
        <v>0</v>
      </c>
      <c r="AK81" s="19">
        <f t="shared" si="50"/>
        <v>81.217226947039535</v>
      </c>
      <c r="AL81" s="23">
        <f t="shared" si="41"/>
        <v>1022.1592269470395</v>
      </c>
      <c r="AM81" s="22">
        <f>(1/(2*LOG(3.7*($I81-0.008)/'Calculation Constants'!$B$5*1000)))^2</f>
        <v>1.4542845531075887E-2</v>
      </c>
      <c r="AN81" s="19">
        <f t="shared" si="51"/>
        <v>1.6249731396833385</v>
      </c>
      <c r="AO81" s="19">
        <f>IF($H81&gt;0,'Calculation Constants'!$B$9*Hydraulics!$K81^2/2/9.81/MAX($F$4:$F$263)*$H81,"")</f>
        <v>6.098258683766869E-2</v>
      </c>
      <c r="AP81" s="19">
        <f t="shared" si="52"/>
        <v>1.6859557265210072</v>
      </c>
      <c r="AQ81" s="19">
        <f t="shared" si="42"/>
        <v>0</v>
      </c>
      <c r="AR81" s="19">
        <f t="shared" si="53"/>
        <v>57.768966323087056</v>
      </c>
      <c r="AS81" s="23">
        <f t="shared" si="43"/>
        <v>998.71096632308706</v>
      </c>
    </row>
    <row r="82" spans="5:45">
      <c r="E82" s="35" t="str">
        <f t="shared" si="29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4"/>
        <v>2</v>
      </c>
      <c r="I82" s="19">
        <v>1.8</v>
      </c>
      <c r="J82" s="36">
        <f>'Flow Rate Calculations'!$B$7</f>
        <v>4.0831050228310497</v>
      </c>
      <c r="K82" s="36">
        <f t="shared" si="44"/>
        <v>1.6045588828318709</v>
      </c>
      <c r="L82" s="37">
        <f>$I82*$K82/'Calculation Constants'!$B$7</f>
        <v>2555934.503625989</v>
      </c>
      <c r="M82" s="37">
        <f t="shared" si="30"/>
        <v>171.94400000000007</v>
      </c>
      <c r="N82" s="23">
        <f t="shared" si="45"/>
        <v>101.87375292553781</v>
      </c>
      <c r="O82" s="57">
        <f t="shared" si="31"/>
        <v>171.94400000000007</v>
      </c>
      <c r="P82" s="66">
        <f>MAX(I82*1000/'Calculation Constants'!$B$14,O82*10*I82*1000/2/('Calculation Constants'!$B$12*1000*'Calculation Constants'!$B$13))</f>
        <v>11.25</v>
      </c>
      <c r="Q82" s="68">
        <f t="shared" si="32"/>
        <v>992548.40161508287</v>
      </c>
      <c r="R82" s="27">
        <f>(1/(2*LOG(3.7*$I82/'Calculation Constants'!$B$2*1000)))^2</f>
        <v>8.7463077071963571E-3</v>
      </c>
      <c r="S82" s="19">
        <f t="shared" si="46"/>
        <v>1.2752477269849725</v>
      </c>
      <c r="T82" s="19">
        <f>IF($H82&gt;0,'Calculation Constants'!$B$9*Hydraulics!$K82^2/2/9.81/MAX($F$4:$F$263)*$H82,"")</f>
        <v>7.5705987075825154E-2</v>
      </c>
      <c r="U82" s="19">
        <f t="shared" si="47"/>
        <v>1.3509537140607977</v>
      </c>
      <c r="V82" s="19">
        <f t="shared" si="33"/>
        <v>0</v>
      </c>
      <c r="W82" s="19">
        <f t="shared" si="34"/>
        <v>101.87375292553781</v>
      </c>
      <c r="X82" s="23">
        <f t="shared" si="35"/>
        <v>1041.5997529255378</v>
      </c>
      <c r="Y82" s="22">
        <f>(1/(2*LOG(3.7*$I82/'Calculation Constants'!$B$3*1000)))^2</f>
        <v>9.8211436332891755E-3</v>
      </c>
      <c r="Z82" s="19">
        <f t="shared" si="36"/>
        <v>1.431963236834217</v>
      </c>
      <c r="AA82" s="19">
        <f>IF($H82&gt;0,'Calculation Constants'!$B$9*Hydraulics!$K82^2/2/9.81/MAX($F$4:$F$263)*$H82,"")</f>
        <v>7.5705987075825154E-2</v>
      </c>
      <c r="AB82" s="19">
        <f t="shared" si="55"/>
        <v>1.5076692239100422</v>
      </c>
      <c r="AC82" s="19">
        <f t="shared" si="37"/>
        <v>0</v>
      </c>
      <c r="AD82" s="19">
        <f t="shared" si="48"/>
        <v>93.81207131662984</v>
      </c>
      <c r="AE82" s="23">
        <f t="shared" si="38"/>
        <v>1033.5380713166298</v>
      </c>
      <c r="AF82" s="27">
        <f>(1/(2*LOG(3.7*$I82/'Calculation Constants'!$B$4*1000)))^2</f>
        <v>1.1575055557914658E-2</v>
      </c>
      <c r="AG82" s="19">
        <f t="shared" si="39"/>
        <v>1.6876908272744866</v>
      </c>
      <c r="AH82" s="19">
        <f>IF($H82&gt;0,'Calculation Constants'!$B$9*Hydraulics!$K82^2/2/9.81/MAX($F$4:$F$263)*$H82,"")</f>
        <v>7.5705987075825154E-2</v>
      </c>
      <c r="AI82" s="19">
        <f t="shared" si="49"/>
        <v>1.7633968143503118</v>
      </c>
      <c r="AJ82" s="19">
        <f t="shared" si="40"/>
        <v>0</v>
      </c>
      <c r="AK82" s="19">
        <f t="shared" si="50"/>
        <v>80.669830132689185</v>
      </c>
      <c r="AL82" s="23">
        <f t="shared" si="41"/>
        <v>1020.3958301326892</v>
      </c>
      <c r="AM82" s="22">
        <f>(1/(2*LOG(3.7*($I82-0.008)/'Calculation Constants'!$B$5*1000)))^2</f>
        <v>1.4709705891825043E-2</v>
      </c>
      <c r="AN82" s="19">
        <f t="shared" si="51"/>
        <v>2.1543104841910781</v>
      </c>
      <c r="AO82" s="19">
        <f>IF($H82&gt;0,'Calculation Constants'!$B$9*Hydraulics!$K82^2/2/9.81/MAX($F$4:$F$263)*$H82,"")</f>
        <v>7.5705987075825154E-2</v>
      </c>
      <c r="AP82" s="19">
        <f t="shared" si="52"/>
        <v>2.2300164712669033</v>
      </c>
      <c r="AQ82" s="19">
        <f t="shared" si="42"/>
        <v>0</v>
      </c>
      <c r="AR82" s="19">
        <f t="shared" si="53"/>
        <v>56.754949851820129</v>
      </c>
      <c r="AS82" s="23">
        <f t="shared" si="43"/>
        <v>996.48094985182013</v>
      </c>
    </row>
    <row r="83" spans="5:45">
      <c r="E83" s="35" t="str">
        <f t="shared" si="29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4"/>
        <v>2</v>
      </c>
      <c r="I83" s="19">
        <v>1.8</v>
      </c>
      <c r="J83" s="36">
        <f>'Flow Rate Calculations'!$B$7</f>
        <v>4.0831050228310497</v>
      </c>
      <c r="K83" s="36">
        <f t="shared" si="44"/>
        <v>1.6045588828318709</v>
      </c>
      <c r="L83" s="37">
        <f>$I83*$K83/'Calculation Constants'!$B$7</f>
        <v>2555934.503625989</v>
      </c>
      <c r="M83" s="37">
        <f t="shared" si="30"/>
        <v>174.93200000000002</v>
      </c>
      <c r="N83" s="23">
        <f t="shared" si="45"/>
        <v>103.51079921147698</v>
      </c>
      <c r="O83" s="57">
        <f t="shared" si="31"/>
        <v>174.93200000000002</v>
      </c>
      <c r="P83" s="66">
        <f>MAX(I83*1000/'Calculation Constants'!$B$14,O83*10*I83*1000/2/('Calculation Constants'!$B$12*1000*'Calculation Constants'!$B$13))</f>
        <v>11.25</v>
      </c>
      <c r="Q83" s="68">
        <f t="shared" si="32"/>
        <v>992548.40161508287</v>
      </c>
      <c r="R83" s="27">
        <f>(1/(2*LOG(3.7*$I83/'Calculation Constants'!$B$2*1000)))^2</f>
        <v>8.7463077071963571E-3</v>
      </c>
      <c r="S83" s="19">
        <f t="shared" si="46"/>
        <v>1.2752477269849725</v>
      </c>
      <c r="T83" s="19">
        <f>IF($H83&gt;0,'Calculation Constants'!$B$9*Hydraulics!$K83^2/2/9.81/MAX($F$4:$F$263)*$H83,"")</f>
        <v>7.5705987075825154E-2</v>
      </c>
      <c r="U83" s="19">
        <f t="shared" si="47"/>
        <v>1.3509537140607977</v>
      </c>
      <c r="V83" s="19">
        <f t="shared" si="33"/>
        <v>0</v>
      </c>
      <c r="W83" s="19">
        <f t="shared" si="34"/>
        <v>103.51079921147698</v>
      </c>
      <c r="X83" s="23">
        <f t="shared" si="35"/>
        <v>1040.248799211477</v>
      </c>
      <c r="Y83" s="22">
        <f>(1/(2*LOG(3.7*$I83/'Calculation Constants'!$B$3*1000)))^2</f>
        <v>9.8211436332891755E-3</v>
      </c>
      <c r="Z83" s="19">
        <f t="shared" si="36"/>
        <v>1.431963236834217</v>
      </c>
      <c r="AA83" s="19">
        <f>IF($H83&gt;0,'Calculation Constants'!$B$9*Hydraulics!$K83^2/2/9.81/MAX($F$4:$F$263)*$H83,"")</f>
        <v>7.5705987075825154E-2</v>
      </c>
      <c r="AB83" s="19">
        <f t="shared" si="55"/>
        <v>1.5076692239100422</v>
      </c>
      <c r="AC83" s="19">
        <f t="shared" si="37"/>
        <v>0</v>
      </c>
      <c r="AD83" s="19">
        <f t="shared" si="48"/>
        <v>95.29240209271984</v>
      </c>
      <c r="AE83" s="23">
        <f t="shared" si="38"/>
        <v>1032.0304020927199</v>
      </c>
      <c r="AF83" s="27">
        <f>(1/(2*LOG(3.7*$I83/'Calculation Constants'!$B$4*1000)))^2</f>
        <v>1.1575055557914658E-2</v>
      </c>
      <c r="AG83" s="19">
        <f t="shared" si="39"/>
        <v>1.6876908272744866</v>
      </c>
      <c r="AH83" s="19">
        <f>IF($H83&gt;0,'Calculation Constants'!$B$9*Hydraulics!$K83^2/2/9.81/MAX($F$4:$F$263)*$H83,"")</f>
        <v>7.5705987075825154E-2</v>
      </c>
      <c r="AI83" s="19">
        <f t="shared" si="49"/>
        <v>1.7633968143503118</v>
      </c>
      <c r="AJ83" s="19">
        <f t="shared" si="40"/>
        <v>0</v>
      </c>
      <c r="AK83" s="19">
        <f t="shared" si="50"/>
        <v>81.89443331833877</v>
      </c>
      <c r="AL83" s="23">
        <f t="shared" si="41"/>
        <v>1018.6324333183388</v>
      </c>
      <c r="AM83" s="22">
        <f>(1/(2*LOG(3.7*($I83-0.008)/'Calculation Constants'!$B$5*1000)))^2</f>
        <v>1.4709705891825043E-2</v>
      </c>
      <c r="AN83" s="19">
        <f t="shared" si="51"/>
        <v>2.1543104841910781</v>
      </c>
      <c r="AO83" s="19">
        <f>IF($H83&gt;0,'Calculation Constants'!$B$9*Hydraulics!$K83^2/2/9.81/MAX($F$4:$F$263)*$H83,"")</f>
        <v>7.5705987075825154E-2</v>
      </c>
      <c r="AP83" s="19">
        <f t="shared" si="52"/>
        <v>2.2300164712669033</v>
      </c>
      <c r="AQ83" s="19">
        <f t="shared" si="42"/>
        <v>0</v>
      </c>
      <c r="AR83" s="19">
        <f t="shared" si="53"/>
        <v>57.512933380553136</v>
      </c>
      <c r="AS83" s="23">
        <f t="shared" si="43"/>
        <v>994.25093338055319</v>
      </c>
    </row>
    <row r="84" spans="5:45">
      <c r="E84" s="35" t="str">
        <f t="shared" si="29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4"/>
        <v>2</v>
      </c>
      <c r="I84" s="19">
        <v>1.8</v>
      </c>
      <c r="J84" s="36">
        <f>'Flow Rate Calculations'!$B$7</f>
        <v>4.0831050228310497</v>
      </c>
      <c r="K84" s="36">
        <f t="shared" si="44"/>
        <v>1.6045588828318709</v>
      </c>
      <c r="L84" s="37">
        <f>$I84*$K84/'Calculation Constants'!$B$7</f>
        <v>2555934.503625989</v>
      </c>
      <c r="M84" s="37">
        <f t="shared" si="30"/>
        <v>178.0200000000001</v>
      </c>
      <c r="N84" s="23">
        <f t="shared" si="45"/>
        <v>105.24784549741628</v>
      </c>
      <c r="O84" s="57">
        <f t="shared" si="31"/>
        <v>178.0200000000001</v>
      </c>
      <c r="P84" s="66">
        <f>MAX(I84*1000/'Calculation Constants'!$B$14,O84*10*I84*1000/2/('Calculation Constants'!$B$12*1000*'Calculation Constants'!$B$13))</f>
        <v>11.25</v>
      </c>
      <c r="Q84" s="68">
        <f t="shared" si="32"/>
        <v>992548.40161508287</v>
      </c>
      <c r="R84" s="27">
        <f>(1/(2*LOG(3.7*$I84/'Calculation Constants'!$B$2*1000)))^2</f>
        <v>8.7463077071963571E-3</v>
      </c>
      <c r="S84" s="19">
        <f t="shared" si="46"/>
        <v>1.2752477269849725</v>
      </c>
      <c r="T84" s="19">
        <f>IF($H84&gt;0,'Calculation Constants'!$B$9*Hydraulics!$K84^2/2/9.81/MAX($F$4:$F$263)*$H84,"")</f>
        <v>7.5705987075825154E-2</v>
      </c>
      <c r="U84" s="19">
        <f t="shared" si="47"/>
        <v>1.3509537140607977</v>
      </c>
      <c r="V84" s="19">
        <f t="shared" si="33"/>
        <v>0</v>
      </c>
      <c r="W84" s="19">
        <f t="shared" si="34"/>
        <v>105.24784549741628</v>
      </c>
      <c r="X84" s="23">
        <f t="shared" si="35"/>
        <v>1038.8978454974163</v>
      </c>
      <c r="Y84" s="22">
        <f>(1/(2*LOG(3.7*$I84/'Calculation Constants'!$B$3*1000)))^2</f>
        <v>9.8211436332891755E-3</v>
      </c>
      <c r="Z84" s="19">
        <f t="shared" si="36"/>
        <v>1.431963236834217</v>
      </c>
      <c r="AA84" s="19">
        <f>IF($H84&gt;0,'Calculation Constants'!$B$9*Hydraulics!$K84^2/2/9.81/MAX($F$4:$F$263)*$H84,"")</f>
        <v>7.5705987075825154E-2</v>
      </c>
      <c r="AB84" s="19">
        <f t="shared" si="55"/>
        <v>1.5076692239100422</v>
      </c>
      <c r="AC84" s="19">
        <f t="shared" si="37"/>
        <v>0</v>
      </c>
      <c r="AD84" s="19">
        <f t="shared" si="48"/>
        <v>96.872732868809976</v>
      </c>
      <c r="AE84" s="23">
        <f t="shared" si="38"/>
        <v>1030.52273286881</v>
      </c>
      <c r="AF84" s="27">
        <f>(1/(2*LOG(3.7*$I84/'Calculation Constants'!$B$4*1000)))^2</f>
        <v>1.1575055557914658E-2</v>
      </c>
      <c r="AG84" s="19">
        <f t="shared" si="39"/>
        <v>1.6876908272744866</v>
      </c>
      <c r="AH84" s="19">
        <f>IF($H84&gt;0,'Calculation Constants'!$B$9*Hydraulics!$K84^2/2/9.81/MAX($F$4:$F$263)*$H84,"")</f>
        <v>7.5705987075825154E-2</v>
      </c>
      <c r="AI84" s="19">
        <f t="shared" si="49"/>
        <v>1.7633968143503118</v>
      </c>
      <c r="AJ84" s="19">
        <f t="shared" si="40"/>
        <v>0</v>
      </c>
      <c r="AK84" s="19">
        <f t="shared" si="50"/>
        <v>83.219036503988491</v>
      </c>
      <c r="AL84" s="23">
        <f t="shared" si="41"/>
        <v>1016.8690365039885</v>
      </c>
      <c r="AM84" s="22">
        <f>(1/(2*LOG(3.7*($I84-0.008)/'Calculation Constants'!$B$5*1000)))^2</f>
        <v>1.4709705891825043E-2</v>
      </c>
      <c r="AN84" s="19">
        <f t="shared" si="51"/>
        <v>2.1543104841910781</v>
      </c>
      <c r="AO84" s="19">
        <f>IF($H84&gt;0,'Calculation Constants'!$B$9*Hydraulics!$K84^2/2/9.81/MAX($F$4:$F$263)*$H84,"")</f>
        <v>7.5705987075825154E-2</v>
      </c>
      <c r="AP84" s="19">
        <f t="shared" si="52"/>
        <v>2.2300164712669033</v>
      </c>
      <c r="AQ84" s="19">
        <f t="shared" si="42"/>
        <v>0</v>
      </c>
      <c r="AR84" s="19">
        <f t="shared" si="53"/>
        <v>58.370916909286279</v>
      </c>
      <c r="AS84" s="23">
        <f t="shared" si="43"/>
        <v>992.02091690928626</v>
      </c>
    </row>
    <row r="85" spans="5:45">
      <c r="E85" s="35" t="str">
        <f t="shared" si="29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4"/>
        <v>2</v>
      </c>
      <c r="I85" s="19">
        <v>1.8</v>
      </c>
      <c r="J85" s="36">
        <f>'Flow Rate Calculations'!$B$7</f>
        <v>4.0831050228310497</v>
      </c>
      <c r="K85" s="36">
        <f t="shared" si="44"/>
        <v>1.6045588828318709</v>
      </c>
      <c r="L85" s="37">
        <f>$I85*$K85/'Calculation Constants'!$B$7</f>
        <v>2555934.503625989</v>
      </c>
      <c r="M85" s="37">
        <f t="shared" si="30"/>
        <v>178.92500000000007</v>
      </c>
      <c r="N85" s="23">
        <f t="shared" si="45"/>
        <v>104.80189178335547</v>
      </c>
      <c r="O85" s="57">
        <f t="shared" si="31"/>
        <v>178.92500000000007</v>
      </c>
      <c r="P85" s="66">
        <f>MAX(I85*1000/'Calculation Constants'!$B$14,O85*10*I85*1000/2/('Calculation Constants'!$B$12*1000*'Calculation Constants'!$B$13))</f>
        <v>11.25</v>
      </c>
      <c r="Q85" s="68">
        <f t="shared" si="32"/>
        <v>992548.40161508287</v>
      </c>
      <c r="R85" s="27">
        <f>(1/(2*LOG(3.7*$I85/'Calculation Constants'!$B$2*1000)))^2</f>
        <v>8.7463077071963571E-3</v>
      </c>
      <c r="S85" s="19">
        <f t="shared" si="46"/>
        <v>1.2752477269849725</v>
      </c>
      <c r="T85" s="19">
        <f>IF($H85&gt;0,'Calculation Constants'!$B$9*Hydraulics!$K85^2/2/9.81/MAX($F$4:$F$263)*$H85,"")</f>
        <v>7.5705987075825154E-2</v>
      </c>
      <c r="U85" s="19">
        <f t="shared" si="47"/>
        <v>1.3509537140607977</v>
      </c>
      <c r="V85" s="19">
        <f t="shared" si="33"/>
        <v>0</v>
      </c>
      <c r="W85" s="19">
        <f t="shared" si="34"/>
        <v>104.80189178335547</v>
      </c>
      <c r="X85" s="23">
        <f t="shared" si="35"/>
        <v>1037.5468917833555</v>
      </c>
      <c r="Y85" s="22">
        <f>(1/(2*LOG(3.7*$I85/'Calculation Constants'!$B$3*1000)))^2</f>
        <v>9.8211436332891755E-3</v>
      </c>
      <c r="Z85" s="19">
        <f t="shared" si="36"/>
        <v>1.431963236834217</v>
      </c>
      <c r="AA85" s="19">
        <f>IF($H85&gt;0,'Calculation Constants'!$B$9*Hydraulics!$K85^2/2/9.81/MAX($F$4:$F$263)*$H85,"")</f>
        <v>7.5705987075825154E-2</v>
      </c>
      <c r="AB85" s="19">
        <f t="shared" si="55"/>
        <v>1.5076692239100422</v>
      </c>
      <c r="AC85" s="19">
        <f t="shared" si="37"/>
        <v>0</v>
      </c>
      <c r="AD85" s="19">
        <f t="shared" si="48"/>
        <v>96.270063644900006</v>
      </c>
      <c r="AE85" s="23">
        <f t="shared" si="38"/>
        <v>1029.0150636449</v>
      </c>
      <c r="AF85" s="27">
        <f>(1/(2*LOG(3.7*$I85/'Calculation Constants'!$B$4*1000)))^2</f>
        <v>1.1575055557914658E-2</v>
      </c>
      <c r="AG85" s="19">
        <f t="shared" si="39"/>
        <v>1.6876908272744866</v>
      </c>
      <c r="AH85" s="19">
        <f>IF($H85&gt;0,'Calculation Constants'!$B$9*Hydraulics!$K85^2/2/9.81/MAX($F$4:$F$263)*$H85,"")</f>
        <v>7.5705987075825154E-2</v>
      </c>
      <c r="AI85" s="19">
        <f t="shared" si="49"/>
        <v>1.7633968143503118</v>
      </c>
      <c r="AJ85" s="19">
        <f t="shared" si="40"/>
        <v>0</v>
      </c>
      <c r="AK85" s="19">
        <f t="shared" si="50"/>
        <v>82.360639689638106</v>
      </c>
      <c r="AL85" s="23">
        <f t="shared" si="41"/>
        <v>1015.1056396896381</v>
      </c>
      <c r="AM85" s="22">
        <f>(1/(2*LOG(3.7*($I85-0.008)/'Calculation Constants'!$B$5*1000)))^2</f>
        <v>1.4709705891825043E-2</v>
      </c>
      <c r="AN85" s="19">
        <f t="shared" si="51"/>
        <v>2.1543104841910781</v>
      </c>
      <c r="AO85" s="19">
        <f>IF($H85&gt;0,'Calculation Constants'!$B$9*Hydraulics!$K85^2/2/9.81/MAX($F$4:$F$263)*$H85,"")</f>
        <v>7.5705987075825154E-2</v>
      </c>
      <c r="AP85" s="19">
        <f t="shared" si="52"/>
        <v>2.2300164712669033</v>
      </c>
      <c r="AQ85" s="19">
        <f t="shared" si="42"/>
        <v>0</v>
      </c>
      <c r="AR85" s="19">
        <f t="shared" si="53"/>
        <v>57.045900438019316</v>
      </c>
      <c r="AS85" s="23">
        <f t="shared" si="43"/>
        <v>989.79090043801932</v>
      </c>
    </row>
    <row r="86" spans="5:45">
      <c r="E86" s="35" t="str">
        <f t="shared" si="29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4"/>
        <v>2</v>
      </c>
      <c r="I86" s="19">
        <v>1.8</v>
      </c>
      <c r="J86" s="36">
        <f>'Flow Rate Calculations'!$B$7</f>
        <v>4.0831050228310497</v>
      </c>
      <c r="K86" s="36">
        <f t="shared" si="44"/>
        <v>1.6045588828318709</v>
      </c>
      <c r="L86" s="37">
        <f>$I86*$K86/'Calculation Constants'!$B$7</f>
        <v>2555934.503625989</v>
      </c>
      <c r="M86" s="37">
        <f t="shared" si="30"/>
        <v>179.97400000000005</v>
      </c>
      <c r="N86" s="23">
        <f t="shared" si="45"/>
        <v>104.49993806929467</v>
      </c>
      <c r="O86" s="57">
        <f t="shared" si="31"/>
        <v>179.97400000000005</v>
      </c>
      <c r="P86" s="66">
        <f>MAX(I86*1000/'Calculation Constants'!$B$14,O86*10*I86*1000/2/('Calculation Constants'!$B$12*1000*'Calculation Constants'!$B$13))</f>
        <v>11.25</v>
      </c>
      <c r="Q86" s="68">
        <f t="shared" si="32"/>
        <v>992548.40161508287</v>
      </c>
      <c r="R86" s="27">
        <f>(1/(2*LOG(3.7*$I86/'Calculation Constants'!$B$2*1000)))^2</f>
        <v>8.7463077071963571E-3</v>
      </c>
      <c r="S86" s="19">
        <f t="shared" si="46"/>
        <v>1.2752477269849725</v>
      </c>
      <c r="T86" s="19">
        <f>IF($H86&gt;0,'Calculation Constants'!$B$9*Hydraulics!$K86^2/2/9.81/MAX($F$4:$F$263)*$H86,"")</f>
        <v>7.5705987075825154E-2</v>
      </c>
      <c r="U86" s="19">
        <f t="shared" si="47"/>
        <v>1.3509537140607977</v>
      </c>
      <c r="V86" s="19">
        <f t="shared" si="33"/>
        <v>0</v>
      </c>
      <c r="W86" s="19">
        <f t="shared" si="34"/>
        <v>104.49993806929467</v>
      </c>
      <c r="X86" s="23">
        <f t="shared" si="35"/>
        <v>1036.1959380692947</v>
      </c>
      <c r="Y86" s="22">
        <f>(1/(2*LOG(3.7*$I86/'Calculation Constants'!$B$3*1000)))^2</f>
        <v>9.8211436332891755E-3</v>
      </c>
      <c r="Z86" s="19">
        <f t="shared" si="36"/>
        <v>1.431963236834217</v>
      </c>
      <c r="AA86" s="19">
        <f>IF($H86&gt;0,'Calculation Constants'!$B$9*Hydraulics!$K86^2/2/9.81/MAX($F$4:$F$263)*$H86,"")</f>
        <v>7.5705987075825154E-2</v>
      </c>
      <c r="AB86" s="19">
        <f t="shared" si="55"/>
        <v>1.5076692239100422</v>
      </c>
      <c r="AC86" s="19">
        <f t="shared" si="37"/>
        <v>0</v>
      </c>
      <c r="AD86" s="19">
        <f t="shared" si="48"/>
        <v>95.811394420990041</v>
      </c>
      <c r="AE86" s="23">
        <f t="shared" si="38"/>
        <v>1027.5073944209901</v>
      </c>
      <c r="AF86" s="27">
        <f>(1/(2*LOG(3.7*$I86/'Calculation Constants'!$B$4*1000)))^2</f>
        <v>1.1575055557914658E-2</v>
      </c>
      <c r="AG86" s="19">
        <f t="shared" si="39"/>
        <v>1.6876908272744866</v>
      </c>
      <c r="AH86" s="19">
        <f>IF($H86&gt;0,'Calculation Constants'!$B$9*Hydraulics!$K86^2/2/9.81/MAX($F$4:$F$263)*$H86,"")</f>
        <v>7.5705987075825154E-2</v>
      </c>
      <c r="AI86" s="19">
        <f t="shared" si="49"/>
        <v>1.7633968143503118</v>
      </c>
      <c r="AJ86" s="19">
        <f t="shared" si="40"/>
        <v>0</v>
      </c>
      <c r="AK86" s="19">
        <f t="shared" si="50"/>
        <v>81.646242875287726</v>
      </c>
      <c r="AL86" s="23">
        <f t="shared" si="41"/>
        <v>1013.3422428752878</v>
      </c>
      <c r="AM86" s="22">
        <f>(1/(2*LOG(3.7*($I86-0.008)/'Calculation Constants'!$B$5*1000)))^2</f>
        <v>1.4709705891825043E-2</v>
      </c>
      <c r="AN86" s="19">
        <f t="shared" si="51"/>
        <v>2.1543104841910781</v>
      </c>
      <c r="AO86" s="19">
        <f>IF($H86&gt;0,'Calculation Constants'!$B$9*Hydraulics!$K86^2/2/9.81/MAX($F$4:$F$263)*$H86,"")</f>
        <v>7.5705987075825154E-2</v>
      </c>
      <c r="AP86" s="19">
        <f t="shared" si="52"/>
        <v>2.2300164712669033</v>
      </c>
      <c r="AQ86" s="19">
        <f t="shared" si="42"/>
        <v>0</v>
      </c>
      <c r="AR86" s="19">
        <f t="shared" si="53"/>
        <v>55.864883966752359</v>
      </c>
      <c r="AS86" s="23">
        <f t="shared" si="43"/>
        <v>987.56088396675239</v>
      </c>
    </row>
    <row r="87" spans="5:45">
      <c r="E87" s="35" t="str">
        <f t="shared" si="29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4"/>
        <v>2</v>
      </c>
      <c r="I87" s="19">
        <v>1.8</v>
      </c>
      <c r="J87" s="36">
        <f>'Flow Rate Calculations'!$B$7</f>
        <v>4.0831050228310497</v>
      </c>
      <c r="K87" s="36">
        <f t="shared" si="44"/>
        <v>1.6045588828318709</v>
      </c>
      <c r="L87" s="37">
        <f>$I87*$K87/'Calculation Constants'!$B$7</f>
        <v>2555934.503625989</v>
      </c>
      <c r="M87" s="37">
        <f t="shared" si="30"/>
        <v>180.67100000000005</v>
      </c>
      <c r="N87" s="23">
        <f t="shared" si="45"/>
        <v>103.8459843552339</v>
      </c>
      <c r="O87" s="57">
        <f t="shared" si="31"/>
        <v>180.67100000000005</v>
      </c>
      <c r="P87" s="66">
        <f>MAX(I87*1000/'Calculation Constants'!$B$14,O87*10*I87*1000/2/('Calculation Constants'!$B$12*1000*'Calculation Constants'!$B$13))</f>
        <v>11.25</v>
      </c>
      <c r="Q87" s="68">
        <f t="shared" si="32"/>
        <v>992548.40161508287</v>
      </c>
      <c r="R87" s="27">
        <f>(1/(2*LOG(3.7*$I87/'Calculation Constants'!$B$2*1000)))^2</f>
        <v>8.7463077071963571E-3</v>
      </c>
      <c r="S87" s="19">
        <f t="shared" si="46"/>
        <v>1.2752477269849725</v>
      </c>
      <c r="T87" s="19">
        <f>IF($H87&gt;0,'Calculation Constants'!$B$9*Hydraulics!$K87^2/2/9.81/MAX($F$4:$F$263)*$H87,"")</f>
        <v>7.5705987075825154E-2</v>
      </c>
      <c r="U87" s="19">
        <f t="shared" si="47"/>
        <v>1.3509537140607977</v>
      </c>
      <c r="V87" s="19">
        <f t="shared" si="33"/>
        <v>0</v>
      </c>
      <c r="W87" s="19">
        <f t="shared" si="34"/>
        <v>103.8459843552339</v>
      </c>
      <c r="X87" s="23">
        <f t="shared" si="35"/>
        <v>1034.8449843552339</v>
      </c>
      <c r="Y87" s="22">
        <f>(1/(2*LOG(3.7*$I87/'Calculation Constants'!$B$3*1000)))^2</f>
        <v>9.8211436332891755E-3</v>
      </c>
      <c r="Z87" s="19">
        <f t="shared" si="36"/>
        <v>1.431963236834217</v>
      </c>
      <c r="AA87" s="19">
        <f>IF($H87&gt;0,'Calculation Constants'!$B$9*Hydraulics!$K87^2/2/9.81/MAX($F$4:$F$263)*$H87,"")</f>
        <v>7.5705987075825154E-2</v>
      </c>
      <c r="AB87" s="19">
        <f t="shared" si="55"/>
        <v>1.5076692239100422</v>
      </c>
      <c r="AC87" s="19">
        <f t="shared" si="37"/>
        <v>0</v>
      </c>
      <c r="AD87" s="19">
        <f t="shared" si="48"/>
        <v>95.000725197080101</v>
      </c>
      <c r="AE87" s="23">
        <f t="shared" si="38"/>
        <v>1025.9997251970801</v>
      </c>
      <c r="AF87" s="27">
        <f>(1/(2*LOG(3.7*$I87/'Calculation Constants'!$B$4*1000)))^2</f>
        <v>1.1575055557914658E-2</v>
      </c>
      <c r="AG87" s="19">
        <f t="shared" si="39"/>
        <v>1.6876908272744866</v>
      </c>
      <c r="AH87" s="19">
        <f>IF($H87&gt;0,'Calculation Constants'!$B$9*Hydraulics!$K87^2/2/9.81/MAX($F$4:$F$263)*$H87,"")</f>
        <v>7.5705987075825154E-2</v>
      </c>
      <c r="AI87" s="19">
        <f t="shared" si="49"/>
        <v>1.7633968143503118</v>
      </c>
      <c r="AJ87" s="19">
        <f t="shared" si="40"/>
        <v>0</v>
      </c>
      <c r="AK87" s="19">
        <f t="shared" si="50"/>
        <v>80.579846060937371</v>
      </c>
      <c r="AL87" s="23">
        <f t="shared" si="41"/>
        <v>1011.5788460609374</v>
      </c>
      <c r="AM87" s="22">
        <f>(1/(2*LOG(3.7*($I87-0.008)/'Calculation Constants'!$B$5*1000)))^2</f>
        <v>1.4709705891825043E-2</v>
      </c>
      <c r="AN87" s="19">
        <f t="shared" si="51"/>
        <v>2.1543104841910781</v>
      </c>
      <c r="AO87" s="19">
        <f>IF($H87&gt;0,'Calculation Constants'!$B$9*Hydraulics!$K87^2/2/9.81/MAX($F$4:$F$263)*$H87,"")</f>
        <v>7.5705987075825154E-2</v>
      </c>
      <c r="AP87" s="19">
        <f t="shared" si="52"/>
        <v>2.2300164712669033</v>
      </c>
      <c r="AQ87" s="19">
        <f t="shared" si="42"/>
        <v>0</v>
      </c>
      <c r="AR87" s="19">
        <f t="shared" si="53"/>
        <v>54.331867495485426</v>
      </c>
      <c r="AS87" s="23">
        <f t="shared" si="43"/>
        <v>985.33086749548545</v>
      </c>
    </row>
    <row r="88" spans="5:45">
      <c r="E88" s="35" t="str">
        <f t="shared" si="29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4"/>
        <v>2</v>
      </c>
      <c r="I88" s="19">
        <v>1.8</v>
      </c>
      <c r="J88" s="36">
        <f>'Flow Rate Calculations'!$B$7</f>
        <v>4.0831050228310497</v>
      </c>
      <c r="K88" s="36">
        <f t="shared" si="44"/>
        <v>1.6045588828318709</v>
      </c>
      <c r="L88" s="37">
        <f>$I88*$K88/'Calculation Constants'!$B$7</f>
        <v>2555934.503625989</v>
      </c>
      <c r="M88" s="37">
        <f t="shared" si="30"/>
        <v>180.78500000000008</v>
      </c>
      <c r="N88" s="23">
        <f t="shared" si="45"/>
        <v>102.60903064117315</v>
      </c>
      <c r="O88" s="57">
        <f t="shared" si="31"/>
        <v>180.78500000000008</v>
      </c>
      <c r="P88" s="66">
        <f>MAX(I88*1000/'Calculation Constants'!$B$14,O88*10*I88*1000/2/('Calculation Constants'!$B$12*1000*'Calculation Constants'!$B$13))</f>
        <v>11.25</v>
      </c>
      <c r="Q88" s="68">
        <f t="shared" si="32"/>
        <v>992548.40161508287</v>
      </c>
      <c r="R88" s="27">
        <f>(1/(2*LOG(3.7*$I88/'Calculation Constants'!$B$2*1000)))^2</f>
        <v>8.7463077071963571E-3</v>
      </c>
      <c r="S88" s="19">
        <f t="shared" si="46"/>
        <v>1.2752477269849725</v>
      </c>
      <c r="T88" s="19">
        <f>IF($H88&gt;0,'Calculation Constants'!$B$9*Hydraulics!$K88^2/2/9.81/MAX($F$4:$F$263)*$H88,"")</f>
        <v>7.5705987075825154E-2</v>
      </c>
      <c r="U88" s="19">
        <f t="shared" si="47"/>
        <v>1.3509537140607977</v>
      </c>
      <c r="V88" s="19">
        <f t="shared" si="33"/>
        <v>0</v>
      </c>
      <c r="W88" s="19">
        <f t="shared" si="34"/>
        <v>102.60903064117315</v>
      </c>
      <c r="X88" s="23">
        <f t="shared" si="35"/>
        <v>1033.4940306411731</v>
      </c>
      <c r="Y88" s="22">
        <f>(1/(2*LOG(3.7*$I88/'Calculation Constants'!$B$3*1000)))^2</f>
        <v>9.8211436332891755E-3</v>
      </c>
      <c r="Z88" s="19">
        <f t="shared" si="36"/>
        <v>1.431963236834217</v>
      </c>
      <c r="AA88" s="19">
        <f>IF($H88&gt;0,'Calculation Constants'!$B$9*Hydraulics!$K88^2/2/9.81/MAX($F$4:$F$263)*$H88,"")</f>
        <v>7.5705987075825154E-2</v>
      </c>
      <c r="AB88" s="19">
        <f t="shared" si="55"/>
        <v>1.5076692239100422</v>
      </c>
      <c r="AC88" s="19">
        <f t="shared" si="37"/>
        <v>0</v>
      </c>
      <c r="AD88" s="19">
        <f t="shared" si="48"/>
        <v>93.607055973170191</v>
      </c>
      <c r="AE88" s="23">
        <f t="shared" si="38"/>
        <v>1024.4920559731702</v>
      </c>
      <c r="AF88" s="27">
        <f>(1/(2*LOG(3.7*$I88/'Calculation Constants'!$B$4*1000)))^2</f>
        <v>1.1575055557914658E-2</v>
      </c>
      <c r="AG88" s="19">
        <f t="shared" si="39"/>
        <v>1.6876908272744866</v>
      </c>
      <c r="AH88" s="19">
        <f>IF($H88&gt;0,'Calculation Constants'!$B$9*Hydraulics!$K88^2/2/9.81/MAX($F$4:$F$263)*$H88,"")</f>
        <v>7.5705987075825154E-2</v>
      </c>
      <c r="AI88" s="19">
        <f t="shared" si="49"/>
        <v>1.7633968143503118</v>
      </c>
      <c r="AJ88" s="19">
        <f t="shared" si="40"/>
        <v>0</v>
      </c>
      <c r="AK88" s="19">
        <f t="shared" si="50"/>
        <v>78.930449246587045</v>
      </c>
      <c r="AL88" s="23">
        <f t="shared" si="41"/>
        <v>1009.815449246587</v>
      </c>
      <c r="AM88" s="22">
        <f>(1/(2*LOG(3.7*($I88-0.008)/'Calculation Constants'!$B$5*1000)))^2</f>
        <v>1.4709705891825043E-2</v>
      </c>
      <c r="AN88" s="19">
        <f t="shared" si="51"/>
        <v>2.1543104841910781</v>
      </c>
      <c r="AO88" s="19">
        <f>IF($H88&gt;0,'Calculation Constants'!$B$9*Hydraulics!$K88^2/2/9.81/MAX($F$4:$F$263)*$H88,"")</f>
        <v>7.5705987075825154E-2</v>
      </c>
      <c r="AP88" s="19">
        <f t="shared" si="52"/>
        <v>2.2300164712669033</v>
      </c>
      <c r="AQ88" s="19">
        <f t="shared" si="42"/>
        <v>0</v>
      </c>
      <c r="AR88" s="19">
        <f t="shared" si="53"/>
        <v>52.215851024218523</v>
      </c>
      <c r="AS88" s="23">
        <f t="shared" si="43"/>
        <v>983.10085102421851</v>
      </c>
    </row>
    <row r="89" spans="5:45">
      <c r="E89" s="35" t="str">
        <f t="shared" si="29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4"/>
        <v>2</v>
      </c>
      <c r="I89" s="19">
        <v>1.8</v>
      </c>
      <c r="J89" s="36">
        <f>'Flow Rate Calculations'!$B$7</f>
        <v>4.0831050228310497</v>
      </c>
      <c r="K89" s="36">
        <f t="shared" si="44"/>
        <v>1.6045588828318709</v>
      </c>
      <c r="L89" s="37">
        <f>$I89*$K89/'Calculation Constants'!$B$7</f>
        <v>2555934.503625989</v>
      </c>
      <c r="M89" s="37">
        <f t="shared" si="30"/>
        <v>181.29200000000003</v>
      </c>
      <c r="N89" s="23">
        <f t="shared" si="45"/>
        <v>101.76507692711232</v>
      </c>
      <c r="O89" s="57">
        <f t="shared" si="31"/>
        <v>181.29200000000003</v>
      </c>
      <c r="P89" s="66">
        <f>MAX(I89*1000/'Calculation Constants'!$B$14,O89*10*I89*1000/2/('Calculation Constants'!$B$12*1000*'Calculation Constants'!$B$13))</f>
        <v>11.25</v>
      </c>
      <c r="Q89" s="68">
        <f t="shared" si="32"/>
        <v>992548.40161508287</v>
      </c>
      <c r="R89" s="27">
        <f>(1/(2*LOG(3.7*$I89/'Calculation Constants'!$B$2*1000)))^2</f>
        <v>8.7463077071963571E-3</v>
      </c>
      <c r="S89" s="19">
        <f t="shared" si="46"/>
        <v>1.2752477269849725</v>
      </c>
      <c r="T89" s="19">
        <f>IF($H89&gt;0,'Calculation Constants'!$B$9*Hydraulics!$K89^2/2/9.81/MAX($F$4:$F$263)*$H89,"")</f>
        <v>7.5705987075825154E-2</v>
      </c>
      <c r="U89" s="19">
        <f t="shared" si="47"/>
        <v>1.3509537140607977</v>
      </c>
      <c r="V89" s="19">
        <f t="shared" si="33"/>
        <v>0</v>
      </c>
      <c r="W89" s="19">
        <f t="shared" si="34"/>
        <v>101.76507692711232</v>
      </c>
      <c r="X89" s="23">
        <f t="shared" si="35"/>
        <v>1032.1430769271124</v>
      </c>
      <c r="Y89" s="22">
        <f>(1/(2*LOG(3.7*$I89/'Calculation Constants'!$B$3*1000)))^2</f>
        <v>9.8211436332891755E-3</v>
      </c>
      <c r="Z89" s="19">
        <f t="shared" si="36"/>
        <v>1.431963236834217</v>
      </c>
      <c r="AA89" s="19">
        <f>IF($H89&gt;0,'Calculation Constants'!$B$9*Hydraulics!$K89^2/2/9.81/MAX($F$4:$F$263)*$H89,"")</f>
        <v>7.5705987075825154E-2</v>
      </c>
      <c r="AB89" s="19">
        <f t="shared" si="55"/>
        <v>1.5076692239100422</v>
      </c>
      <c r="AC89" s="19">
        <f t="shared" si="37"/>
        <v>0</v>
      </c>
      <c r="AD89" s="19">
        <f t="shared" si="48"/>
        <v>92.606386749260082</v>
      </c>
      <c r="AE89" s="23">
        <f t="shared" si="38"/>
        <v>1022.9843867492601</v>
      </c>
      <c r="AF89" s="27">
        <f>(1/(2*LOG(3.7*$I89/'Calculation Constants'!$B$4*1000)))^2</f>
        <v>1.1575055557914658E-2</v>
      </c>
      <c r="AG89" s="19">
        <f t="shared" si="39"/>
        <v>1.6876908272744866</v>
      </c>
      <c r="AH89" s="19">
        <f>IF($H89&gt;0,'Calculation Constants'!$B$9*Hydraulics!$K89^2/2/9.81/MAX($F$4:$F$263)*$H89,"")</f>
        <v>7.5705987075825154E-2</v>
      </c>
      <c r="AI89" s="19">
        <f t="shared" si="49"/>
        <v>1.7633968143503118</v>
      </c>
      <c r="AJ89" s="19">
        <f t="shared" si="40"/>
        <v>0</v>
      </c>
      <c r="AK89" s="19">
        <f t="shared" si="50"/>
        <v>77.674052432236635</v>
      </c>
      <c r="AL89" s="23">
        <f t="shared" si="41"/>
        <v>1008.0520524322367</v>
      </c>
      <c r="AM89" s="22">
        <f>(1/(2*LOG(3.7*($I89-0.008)/'Calculation Constants'!$B$5*1000)))^2</f>
        <v>1.4709705891825043E-2</v>
      </c>
      <c r="AN89" s="19">
        <f t="shared" si="51"/>
        <v>2.1543104841910781</v>
      </c>
      <c r="AO89" s="19">
        <f>IF($H89&gt;0,'Calculation Constants'!$B$9*Hydraulics!$K89^2/2/9.81/MAX($F$4:$F$263)*$H89,"")</f>
        <v>7.5705987075825154E-2</v>
      </c>
      <c r="AP89" s="19">
        <f t="shared" si="52"/>
        <v>2.2300164712669033</v>
      </c>
      <c r="AQ89" s="19">
        <f t="shared" si="42"/>
        <v>0</v>
      </c>
      <c r="AR89" s="19">
        <f t="shared" si="53"/>
        <v>50.492834552951535</v>
      </c>
      <c r="AS89" s="23">
        <f t="shared" si="43"/>
        <v>980.87083455295158</v>
      </c>
    </row>
    <row r="90" spans="5:45">
      <c r="E90" s="35" t="str">
        <f t="shared" si="29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4"/>
        <v>2</v>
      </c>
      <c r="I90" s="19">
        <v>1.8</v>
      </c>
      <c r="J90" s="36">
        <f>'Flow Rate Calculations'!$B$7</f>
        <v>4.0831050228310497</v>
      </c>
      <c r="K90" s="36">
        <f t="shared" si="44"/>
        <v>1.6045588828318709</v>
      </c>
      <c r="L90" s="37">
        <f>$I90*$K90/'Calculation Constants'!$B$7</f>
        <v>2555934.503625989</v>
      </c>
      <c r="M90" s="37">
        <f t="shared" si="30"/>
        <v>180.34600000000012</v>
      </c>
      <c r="N90" s="23">
        <f t="shared" si="45"/>
        <v>99.468123213051626</v>
      </c>
      <c r="O90" s="57">
        <f t="shared" si="31"/>
        <v>180.34600000000012</v>
      </c>
      <c r="P90" s="66">
        <f>MAX(I90*1000/'Calculation Constants'!$B$14,O90*10*I90*1000/2/('Calculation Constants'!$B$12*1000*'Calculation Constants'!$B$13))</f>
        <v>11.25</v>
      </c>
      <c r="Q90" s="68">
        <f t="shared" si="32"/>
        <v>992548.40161508287</v>
      </c>
      <c r="R90" s="27">
        <f>(1/(2*LOG(3.7*$I90/'Calculation Constants'!$B$2*1000)))^2</f>
        <v>8.7463077071963571E-3</v>
      </c>
      <c r="S90" s="19">
        <f t="shared" si="46"/>
        <v>1.2752477269849725</v>
      </c>
      <c r="T90" s="19">
        <f>IF($H90&gt;0,'Calculation Constants'!$B$9*Hydraulics!$K90^2/2/9.81/MAX($F$4:$F$263)*$H90,"")</f>
        <v>7.5705987075825154E-2</v>
      </c>
      <c r="U90" s="19">
        <f t="shared" si="47"/>
        <v>1.3509537140607977</v>
      </c>
      <c r="V90" s="19">
        <f t="shared" si="33"/>
        <v>0</v>
      </c>
      <c r="W90" s="19">
        <f t="shared" si="34"/>
        <v>99.468123213051626</v>
      </c>
      <c r="X90" s="23">
        <f t="shared" si="35"/>
        <v>1030.7921232130516</v>
      </c>
      <c r="Y90" s="22">
        <f>(1/(2*LOG(3.7*$I90/'Calculation Constants'!$B$3*1000)))^2</f>
        <v>9.8211436332891755E-3</v>
      </c>
      <c r="Z90" s="19">
        <f t="shared" si="36"/>
        <v>1.431963236834217</v>
      </c>
      <c r="AA90" s="19">
        <f>IF($H90&gt;0,'Calculation Constants'!$B$9*Hydraulics!$K90^2/2/9.81/MAX($F$4:$F$263)*$H90,"")</f>
        <v>7.5705987075825154E-2</v>
      </c>
      <c r="AB90" s="19">
        <f t="shared" si="55"/>
        <v>1.5076692239100422</v>
      </c>
      <c r="AC90" s="19">
        <f t="shared" si="37"/>
        <v>0</v>
      </c>
      <c r="AD90" s="19">
        <f t="shared" si="48"/>
        <v>90.152717525350113</v>
      </c>
      <c r="AE90" s="23">
        <f t="shared" si="38"/>
        <v>1021.4767175253501</v>
      </c>
      <c r="AF90" s="27">
        <f>(1/(2*LOG(3.7*$I90/'Calculation Constants'!$B$4*1000)))^2</f>
        <v>1.1575055557914658E-2</v>
      </c>
      <c r="AG90" s="19">
        <f t="shared" si="39"/>
        <v>1.6876908272744866</v>
      </c>
      <c r="AH90" s="19">
        <f>IF($H90&gt;0,'Calculation Constants'!$B$9*Hydraulics!$K90^2/2/9.81/MAX($F$4:$F$263)*$H90,"")</f>
        <v>7.5705987075825154E-2</v>
      </c>
      <c r="AI90" s="19">
        <f t="shared" si="49"/>
        <v>1.7633968143503118</v>
      </c>
      <c r="AJ90" s="19">
        <f t="shared" si="40"/>
        <v>0</v>
      </c>
      <c r="AK90" s="19">
        <f t="shared" si="50"/>
        <v>74.964655617886365</v>
      </c>
      <c r="AL90" s="23">
        <f t="shared" si="41"/>
        <v>1006.2886556178863</v>
      </c>
      <c r="AM90" s="22">
        <f>(1/(2*LOG(3.7*($I90-0.008)/'Calculation Constants'!$B$5*1000)))^2</f>
        <v>1.4709705891825043E-2</v>
      </c>
      <c r="AN90" s="19">
        <f t="shared" si="51"/>
        <v>2.1543104841910781</v>
      </c>
      <c r="AO90" s="19">
        <f>IF($H90&gt;0,'Calculation Constants'!$B$9*Hydraulics!$K90^2/2/9.81/MAX($F$4:$F$263)*$H90,"")</f>
        <v>7.5705987075825154E-2</v>
      </c>
      <c r="AP90" s="19">
        <f t="shared" si="52"/>
        <v>2.2300164712669033</v>
      </c>
      <c r="AQ90" s="19">
        <f t="shared" si="42"/>
        <v>0</v>
      </c>
      <c r="AR90" s="19">
        <f t="shared" si="53"/>
        <v>47.316818081684687</v>
      </c>
      <c r="AS90" s="23">
        <f t="shared" si="43"/>
        <v>978.64081808168464</v>
      </c>
    </row>
    <row r="91" spans="5:45">
      <c r="E91" s="35" t="str">
        <f t="shared" si="29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4"/>
        <v>2</v>
      </c>
      <c r="I91" s="19">
        <v>1.8</v>
      </c>
      <c r="J91" s="36">
        <f>'Flow Rate Calculations'!$B$7</f>
        <v>4.0831050228310497</v>
      </c>
      <c r="K91" s="36">
        <f t="shared" si="44"/>
        <v>1.6045588828318709</v>
      </c>
      <c r="L91" s="37">
        <f>$I91*$K91/'Calculation Constants'!$B$7</f>
        <v>2555934.503625989</v>
      </c>
      <c r="M91" s="37">
        <f t="shared" si="30"/>
        <v>178.1400000000001</v>
      </c>
      <c r="N91" s="23">
        <f t="shared" si="45"/>
        <v>95.91116949899083</v>
      </c>
      <c r="O91" s="57">
        <f t="shared" si="31"/>
        <v>178.1400000000001</v>
      </c>
      <c r="P91" s="66">
        <f>MAX(I91*1000/'Calculation Constants'!$B$14,O91*10*I91*1000/2/('Calculation Constants'!$B$12*1000*'Calculation Constants'!$B$13))</f>
        <v>11.25</v>
      </c>
      <c r="Q91" s="68">
        <f t="shared" si="32"/>
        <v>992548.40161508287</v>
      </c>
      <c r="R91" s="27">
        <f>(1/(2*LOG(3.7*$I91/'Calculation Constants'!$B$2*1000)))^2</f>
        <v>8.7463077071963571E-3</v>
      </c>
      <c r="S91" s="19">
        <f t="shared" si="46"/>
        <v>1.2752477269849725</v>
      </c>
      <c r="T91" s="19">
        <f>IF($H91&gt;0,'Calculation Constants'!$B$9*Hydraulics!$K91^2/2/9.81/MAX($F$4:$F$263)*$H91,"")</f>
        <v>7.5705987075825154E-2</v>
      </c>
      <c r="U91" s="19">
        <f t="shared" si="47"/>
        <v>1.3509537140607977</v>
      </c>
      <c r="V91" s="19">
        <f t="shared" si="33"/>
        <v>0</v>
      </c>
      <c r="W91" s="19">
        <f t="shared" si="34"/>
        <v>95.91116949899083</v>
      </c>
      <c r="X91" s="23">
        <f t="shared" si="35"/>
        <v>1029.4411694989908</v>
      </c>
      <c r="Y91" s="22">
        <f>(1/(2*LOG(3.7*$I91/'Calculation Constants'!$B$3*1000)))^2</f>
        <v>9.8211436332891755E-3</v>
      </c>
      <c r="Z91" s="19">
        <f t="shared" si="36"/>
        <v>1.431963236834217</v>
      </c>
      <c r="AA91" s="19">
        <f>IF($H91&gt;0,'Calculation Constants'!$B$9*Hydraulics!$K91^2/2/9.81/MAX($F$4:$F$263)*$H91,"")</f>
        <v>7.5705987075825154E-2</v>
      </c>
      <c r="AB91" s="19">
        <f t="shared" si="55"/>
        <v>1.5076692239100422</v>
      </c>
      <c r="AC91" s="19">
        <f t="shared" si="37"/>
        <v>0</v>
      </c>
      <c r="AD91" s="19">
        <f t="shared" si="48"/>
        <v>86.439048301440039</v>
      </c>
      <c r="AE91" s="23">
        <f t="shared" si="38"/>
        <v>1019.96904830144</v>
      </c>
      <c r="AF91" s="27">
        <f>(1/(2*LOG(3.7*$I91/'Calculation Constants'!$B$4*1000)))^2</f>
        <v>1.1575055557914658E-2</v>
      </c>
      <c r="AG91" s="19">
        <f t="shared" si="39"/>
        <v>1.6876908272744866</v>
      </c>
      <c r="AH91" s="19">
        <f>IF($H91&gt;0,'Calculation Constants'!$B$9*Hydraulics!$K91^2/2/9.81/MAX($F$4:$F$263)*$H91,"")</f>
        <v>7.5705987075825154E-2</v>
      </c>
      <c r="AI91" s="19">
        <f t="shared" si="49"/>
        <v>1.7633968143503118</v>
      </c>
      <c r="AJ91" s="19">
        <f t="shared" si="40"/>
        <v>0</v>
      </c>
      <c r="AK91" s="19">
        <f t="shared" si="50"/>
        <v>70.99525880353599</v>
      </c>
      <c r="AL91" s="23">
        <f t="shared" si="41"/>
        <v>1004.525258803536</v>
      </c>
      <c r="AM91" s="22">
        <f>(1/(2*LOG(3.7*($I91-0.008)/'Calculation Constants'!$B$5*1000)))^2</f>
        <v>1.4709705891825043E-2</v>
      </c>
      <c r="AN91" s="19">
        <f t="shared" si="51"/>
        <v>2.1543104841910781</v>
      </c>
      <c r="AO91" s="19">
        <f>IF($H91&gt;0,'Calculation Constants'!$B$9*Hydraulics!$K91^2/2/9.81/MAX($F$4:$F$263)*$H91,"")</f>
        <v>7.5705987075825154E-2</v>
      </c>
      <c r="AP91" s="19">
        <f t="shared" si="52"/>
        <v>2.2300164712669033</v>
      </c>
      <c r="AQ91" s="19">
        <f t="shared" si="42"/>
        <v>0</v>
      </c>
      <c r="AR91" s="19">
        <f t="shared" si="53"/>
        <v>42.880801610417734</v>
      </c>
      <c r="AS91" s="23">
        <f t="shared" si="43"/>
        <v>976.41080161041771</v>
      </c>
    </row>
    <row r="92" spans="5:45">
      <c r="E92" s="35" t="str">
        <f t="shared" si="29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4"/>
        <v>2</v>
      </c>
      <c r="I92" s="19">
        <v>1.8</v>
      </c>
      <c r="J92" s="36">
        <f>'Flow Rate Calculations'!$B$7</f>
        <v>4.0831050228310497</v>
      </c>
      <c r="K92" s="36">
        <f t="shared" si="44"/>
        <v>1.6045588828318709</v>
      </c>
      <c r="L92" s="37">
        <f>$I92*$K92/'Calculation Constants'!$B$7</f>
        <v>2555934.503625989</v>
      </c>
      <c r="M92" s="37">
        <f t="shared" si="30"/>
        <v>178.95600000000002</v>
      </c>
      <c r="N92" s="23">
        <f t="shared" si="45"/>
        <v>95.376215784929968</v>
      </c>
      <c r="O92" s="57">
        <f t="shared" si="31"/>
        <v>178.95600000000002</v>
      </c>
      <c r="P92" s="66">
        <f>MAX(I92*1000/'Calculation Constants'!$B$14,O92*10*I92*1000/2/('Calculation Constants'!$B$12*1000*'Calculation Constants'!$B$13))</f>
        <v>11.25</v>
      </c>
      <c r="Q92" s="68">
        <f t="shared" si="32"/>
        <v>992548.40161508287</v>
      </c>
      <c r="R92" s="27">
        <f>(1/(2*LOG(3.7*$I92/'Calculation Constants'!$B$2*1000)))^2</f>
        <v>8.7463077071963571E-3</v>
      </c>
      <c r="S92" s="19">
        <f t="shared" si="46"/>
        <v>1.2752477269849725</v>
      </c>
      <c r="T92" s="19">
        <f>IF($H92&gt;0,'Calculation Constants'!$B$9*Hydraulics!$K92^2/2/9.81/MAX($F$4:$F$263)*$H92,"")</f>
        <v>7.5705987075825154E-2</v>
      </c>
      <c r="U92" s="19">
        <f t="shared" si="47"/>
        <v>1.3509537140607977</v>
      </c>
      <c r="V92" s="19">
        <f t="shared" si="33"/>
        <v>0</v>
      </c>
      <c r="W92" s="19">
        <f t="shared" si="34"/>
        <v>95.376215784929968</v>
      </c>
      <c r="X92" s="23">
        <f t="shared" si="35"/>
        <v>1028.09021578493</v>
      </c>
      <c r="Y92" s="22">
        <f>(1/(2*LOG(3.7*$I92/'Calculation Constants'!$B$3*1000)))^2</f>
        <v>9.8211436332891755E-3</v>
      </c>
      <c r="Z92" s="19">
        <f t="shared" si="36"/>
        <v>1.431963236834217</v>
      </c>
      <c r="AA92" s="19">
        <f>IF($H92&gt;0,'Calculation Constants'!$B$9*Hydraulics!$K92^2/2/9.81/MAX($F$4:$F$263)*$H92,"")</f>
        <v>7.5705987075825154E-2</v>
      </c>
      <c r="AB92" s="19">
        <f t="shared" si="55"/>
        <v>1.5076692239100422</v>
      </c>
      <c r="AC92" s="19">
        <f t="shared" si="37"/>
        <v>0</v>
      </c>
      <c r="AD92" s="19">
        <f t="shared" si="48"/>
        <v>85.747379077529899</v>
      </c>
      <c r="AE92" s="23">
        <f t="shared" si="38"/>
        <v>1018.46137907753</v>
      </c>
      <c r="AF92" s="27">
        <f>(1/(2*LOG(3.7*$I92/'Calculation Constants'!$B$4*1000)))^2</f>
        <v>1.1575055557914658E-2</v>
      </c>
      <c r="AG92" s="19">
        <f t="shared" si="39"/>
        <v>1.6876908272744866</v>
      </c>
      <c r="AH92" s="19">
        <f>IF($H92&gt;0,'Calculation Constants'!$B$9*Hydraulics!$K92^2/2/9.81/MAX($F$4:$F$263)*$H92,"")</f>
        <v>7.5705987075825154E-2</v>
      </c>
      <c r="AI92" s="19">
        <f t="shared" si="49"/>
        <v>1.7633968143503118</v>
      </c>
      <c r="AJ92" s="19">
        <f t="shared" si="40"/>
        <v>0</v>
      </c>
      <c r="AK92" s="19">
        <f t="shared" si="50"/>
        <v>70.047861989185549</v>
      </c>
      <c r="AL92" s="23">
        <f t="shared" si="41"/>
        <v>1002.7618619891856</v>
      </c>
      <c r="AM92" s="22">
        <f>(1/(2*LOG(3.7*($I92-0.008)/'Calculation Constants'!$B$5*1000)))^2</f>
        <v>1.4709705891825043E-2</v>
      </c>
      <c r="AN92" s="19">
        <f t="shared" si="51"/>
        <v>2.1543104841910781</v>
      </c>
      <c r="AO92" s="19">
        <f>IF($H92&gt;0,'Calculation Constants'!$B$9*Hydraulics!$K92^2/2/9.81/MAX($F$4:$F$263)*$H92,"")</f>
        <v>7.5705987075825154E-2</v>
      </c>
      <c r="AP92" s="19">
        <f t="shared" si="52"/>
        <v>2.2300164712669033</v>
      </c>
      <c r="AQ92" s="19">
        <f t="shared" si="42"/>
        <v>0</v>
      </c>
      <c r="AR92" s="19">
        <f t="shared" si="53"/>
        <v>41.466785139150716</v>
      </c>
      <c r="AS92" s="23">
        <f t="shared" si="43"/>
        <v>974.18078513915077</v>
      </c>
    </row>
    <row r="93" spans="5:45">
      <c r="E93" s="35" t="str">
        <f t="shared" si="29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4"/>
        <v>2</v>
      </c>
      <c r="I93" s="19">
        <v>1.8</v>
      </c>
      <c r="J93" s="36">
        <f>'Flow Rate Calculations'!$B$7</f>
        <v>4.0831050228310497</v>
      </c>
      <c r="K93" s="36">
        <f t="shared" si="44"/>
        <v>1.6045588828318709</v>
      </c>
      <c r="L93" s="37">
        <f>$I93*$K93/'Calculation Constants'!$B$7</f>
        <v>2555934.503625989</v>
      </c>
      <c r="M93" s="37">
        <f t="shared" si="30"/>
        <v>183.35900000000004</v>
      </c>
      <c r="N93" s="23">
        <f t="shared" si="45"/>
        <v>98.428262070869209</v>
      </c>
      <c r="O93" s="57">
        <f t="shared" si="31"/>
        <v>183.35900000000004</v>
      </c>
      <c r="P93" s="66">
        <f>MAX(I93*1000/'Calculation Constants'!$B$14,O93*10*I93*1000/2/('Calculation Constants'!$B$12*1000*'Calculation Constants'!$B$13))</f>
        <v>11.25</v>
      </c>
      <c r="Q93" s="68">
        <f t="shared" si="32"/>
        <v>992548.40161508287</v>
      </c>
      <c r="R93" s="27">
        <f>(1/(2*LOG(3.7*$I93/'Calculation Constants'!$B$2*1000)))^2</f>
        <v>8.7463077071963571E-3</v>
      </c>
      <c r="S93" s="19">
        <f t="shared" si="46"/>
        <v>1.2752477269849725</v>
      </c>
      <c r="T93" s="19">
        <f>IF($H93&gt;0,'Calculation Constants'!$B$9*Hydraulics!$K93^2/2/9.81/MAX($F$4:$F$263)*$H93,"")</f>
        <v>7.5705987075825154E-2</v>
      </c>
      <c r="U93" s="19">
        <f t="shared" si="47"/>
        <v>1.3509537140607977</v>
      </c>
      <c r="V93" s="19">
        <f t="shared" si="33"/>
        <v>0</v>
      </c>
      <c r="W93" s="19">
        <f t="shared" si="34"/>
        <v>98.428262070869209</v>
      </c>
      <c r="X93" s="23">
        <f t="shared" si="35"/>
        <v>1026.7392620708692</v>
      </c>
      <c r="Y93" s="22">
        <f>(1/(2*LOG(3.7*$I93/'Calculation Constants'!$B$3*1000)))^2</f>
        <v>9.8211436332891755E-3</v>
      </c>
      <c r="Z93" s="19">
        <f t="shared" si="36"/>
        <v>1.431963236834217</v>
      </c>
      <c r="AA93" s="19">
        <f>IF($H93&gt;0,'Calculation Constants'!$B$9*Hydraulics!$K93^2/2/9.81/MAX($F$4:$F$263)*$H93,"")</f>
        <v>7.5705987075825154E-2</v>
      </c>
      <c r="AB93" s="19">
        <f t="shared" si="55"/>
        <v>1.5076692239100422</v>
      </c>
      <c r="AC93" s="19">
        <f t="shared" si="37"/>
        <v>0</v>
      </c>
      <c r="AD93" s="19">
        <f t="shared" si="48"/>
        <v>88.642709853619863</v>
      </c>
      <c r="AE93" s="23">
        <f t="shared" si="38"/>
        <v>1016.9537098536199</v>
      </c>
      <c r="AF93" s="27">
        <f>(1/(2*LOG(3.7*$I93/'Calculation Constants'!$B$4*1000)))^2</f>
        <v>1.1575055557914658E-2</v>
      </c>
      <c r="AG93" s="19">
        <f t="shared" si="39"/>
        <v>1.6876908272744866</v>
      </c>
      <c r="AH93" s="19">
        <f>IF($H93&gt;0,'Calculation Constants'!$B$9*Hydraulics!$K93^2/2/9.81/MAX($F$4:$F$263)*$H93,"")</f>
        <v>7.5705987075825154E-2</v>
      </c>
      <c r="AI93" s="19">
        <f t="shared" si="49"/>
        <v>1.7633968143503118</v>
      </c>
      <c r="AJ93" s="19">
        <f t="shared" si="40"/>
        <v>0</v>
      </c>
      <c r="AK93" s="19">
        <f t="shared" si="50"/>
        <v>72.687465174835211</v>
      </c>
      <c r="AL93" s="23">
        <f t="shared" si="41"/>
        <v>1000.9984651748352</v>
      </c>
      <c r="AM93" s="22">
        <f>(1/(2*LOG(3.7*($I93-0.008)/'Calculation Constants'!$B$5*1000)))^2</f>
        <v>1.4709705891825043E-2</v>
      </c>
      <c r="AN93" s="19">
        <f t="shared" si="51"/>
        <v>2.1543104841910781</v>
      </c>
      <c r="AO93" s="19">
        <f>IF($H93&gt;0,'Calculation Constants'!$B$9*Hydraulics!$K93^2/2/9.81/MAX($F$4:$F$263)*$H93,"")</f>
        <v>7.5705987075825154E-2</v>
      </c>
      <c r="AP93" s="19">
        <f t="shared" si="52"/>
        <v>2.2300164712669033</v>
      </c>
      <c r="AQ93" s="19">
        <f t="shared" si="42"/>
        <v>0</v>
      </c>
      <c r="AR93" s="19">
        <f t="shared" si="53"/>
        <v>43.6397686678838</v>
      </c>
      <c r="AS93" s="23">
        <f t="shared" si="43"/>
        <v>971.95076866788384</v>
      </c>
    </row>
    <row r="94" spans="5:45">
      <c r="E94" s="35" t="str">
        <f t="shared" si="29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4"/>
        <v>2</v>
      </c>
      <c r="I94" s="19">
        <v>1.8</v>
      </c>
      <c r="J94" s="36">
        <f>'Flow Rate Calculations'!$B$7</f>
        <v>4.0831050228310497</v>
      </c>
      <c r="K94" s="36">
        <f t="shared" si="44"/>
        <v>1.6045588828318709</v>
      </c>
      <c r="L94" s="37">
        <f>$I94*$K94/'Calculation Constants'!$B$7</f>
        <v>2555934.503625989</v>
      </c>
      <c r="M94" s="37">
        <f t="shared" si="30"/>
        <v>187.4910000000001</v>
      </c>
      <c r="N94" s="23">
        <f t="shared" si="45"/>
        <v>101.20930835680849</v>
      </c>
      <c r="O94" s="57">
        <f t="shared" si="31"/>
        <v>187.4910000000001</v>
      </c>
      <c r="P94" s="66">
        <f>MAX(I94*1000/'Calculation Constants'!$B$14,O94*10*I94*1000/2/('Calculation Constants'!$B$12*1000*'Calculation Constants'!$B$13))</f>
        <v>11.25</v>
      </c>
      <c r="Q94" s="68">
        <f t="shared" si="32"/>
        <v>992548.40161508287</v>
      </c>
      <c r="R94" s="27">
        <f>(1/(2*LOG(3.7*$I94/'Calculation Constants'!$B$2*1000)))^2</f>
        <v>8.7463077071963571E-3</v>
      </c>
      <c r="S94" s="19">
        <f t="shared" si="46"/>
        <v>1.2752477269849725</v>
      </c>
      <c r="T94" s="19">
        <f>IF($H94&gt;0,'Calculation Constants'!$B$9*Hydraulics!$K94^2/2/9.81/MAX($F$4:$F$263)*$H94,"")</f>
        <v>7.5705987075825154E-2</v>
      </c>
      <c r="U94" s="19">
        <f t="shared" si="47"/>
        <v>1.3509537140607977</v>
      </c>
      <c r="V94" s="19">
        <f t="shared" si="33"/>
        <v>0</v>
      </c>
      <c r="W94" s="19">
        <f t="shared" si="34"/>
        <v>101.20930835680849</v>
      </c>
      <c r="X94" s="23">
        <f t="shared" si="35"/>
        <v>1025.3883083568085</v>
      </c>
      <c r="Y94" s="22">
        <f>(1/(2*LOG(3.7*$I94/'Calculation Constants'!$B$3*1000)))^2</f>
        <v>9.8211436332891755E-3</v>
      </c>
      <c r="Z94" s="19">
        <f t="shared" si="36"/>
        <v>1.431963236834217</v>
      </c>
      <c r="AA94" s="19">
        <f>IF($H94&gt;0,'Calculation Constants'!$B$9*Hydraulics!$K94^2/2/9.81/MAX($F$4:$F$263)*$H94,"")</f>
        <v>7.5705987075825154E-2</v>
      </c>
      <c r="AB94" s="19">
        <f t="shared" si="55"/>
        <v>1.5076692239100422</v>
      </c>
      <c r="AC94" s="19">
        <f t="shared" si="37"/>
        <v>0</v>
      </c>
      <c r="AD94" s="19">
        <f t="shared" si="48"/>
        <v>91.267040629709868</v>
      </c>
      <c r="AE94" s="23">
        <f t="shared" si="38"/>
        <v>1015.4460406297098</v>
      </c>
      <c r="AF94" s="27">
        <f>(1/(2*LOG(3.7*$I94/'Calculation Constants'!$B$4*1000)))^2</f>
        <v>1.1575055557914658E-2</v>
      </c>
      <c r="AG94" s="19">
        <f t="shared" si="39"/>
        <v>1.6876908272744866</v>
      </c>
      <c r="AH94" s="19">
        <f>IF($H94&gt;0,'Calculation Constants'!$B$9*Hydraulics!$K94^2/2/9.81/MAX($F$4:$F$263)*$H94,"")</f>
        <v>7.5705987075825154E-2</v>
      </c>
      <c r="AI94" s="19">
        <f t="shared" si="49"/>
        <v>1.7633968143503118</v>
      </c>
      <c r="AJ94" s="19">
        <f t="shared" si="40"/>
        <v>0</v>
      </c>
      <c r="AK94" s="19">
        <f t="shared" si="50"/>
        <v>75.056068360484915</v>
      </c>
      <c r="AL94" s="23">
        <f t="shared" si="41"/>
        <v>999.23506836048489</v>
      </c>
      <c r="AM94" s="22">
        <f>(1/(2*LOG(3.7*($I94-0.008)/'Calculation Constants'!$B$5*1000)))^2</f>
        <v>1.4709705891825043E-2</v>
      </c>
      <c r="AN94" s="19">
        <f t="shared" si="51"/>
        <v>2.1543104841910781</v>
      </c>
      <c r="AO94" s="19">
        <f>IF($H94&gt;0,'Calculation Constants'!$B$9*Hydraulics!$K94^2/2/9.81/MAX($F$4:$F$263)*$H94,"")</f>
        <v>7.5705987075825154E-2</v>
      </c>
      <c r="AP94" s="19">
        <f t="shared" si="52"/>
        <v>2.2300164712669033</v>
      </c>
      <c r="AQ94" s="19">
        <f t="shared" si="42"/>
        <v>0</v>
      </c>
      <c r="AR94" s="19">
        <f t="shared" si="53"/>
        <v>45.541752196616926</v>
      </c>
      <c r="AS94" s="23">
        <f t="shared" si="43"/>
        <v>969.7207521966169</v>
      </c>
    </row>
    <row r="95" spans="5:45">
      <c r="E95" s="35" t="str">
        <f t="shared" si="29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4"/>
        <v>2</v>
      </c>
      <c r="I95" s="19">
        <v>1.8</v>
      </c>
      <c r="J95" s="36">
        <f>'Flow Rate Calculations'!$B$7</f>
        <v>4.0831050228310497</v>
      </c>
      <c r="K95" s="36">
        <f t="shared" si="44"/>
        <v>1.6045588828318709</v>
      </c>
      <c r="L95" s="37">
        <f>$I95*$K95/'Calculation Constants'!$B$7</f>
        <v>2555934.503625989</v>
      </c>
      <c r="M95" s="37">
        <f t="shared" si="30"/>
        <v>183.27200000000005</v>
      </c>
      <c r="N95" s="23">
        <f t="shared" si="45"/>
        <v>95.639354642747662</v>
      </c>
      <c r="O95" s="57">
        <f t="shared" si="31"/>
        <v>183.27200000000005</v>
      </c>
      <c r="P95" s="66">
        <f>MAX(I95*1000/'Calculation Constants'!$B$14,O95*10*I95*1000/2/('Calculation Constants'!$B$12*1000*'Calculation Constants'!$B$13))</f>
        <v>11.25</v>
      </c>
      <c r="Q95" s="68">
        <f t="shared" si="32"/>
        <v>992548.40161508287</v>
      </c>
      <c r="R95" s="27">
        <f>(1/(2*LOG(3.7*$I95/'Calculation Constants'!$B$2*1000)))^2</f>
        <v>8.7463077071963571E-3</v>
      </c>
      <c r="S95" s="19">
        <f t="shared" si="46"/>
        <v>1.2752477269849725</v>
      </c>
      <c r="T95" s="19">
        <f>IF($H95&gt;0,'Calculation Constants'!$B$9*Hydraulics!$K95^2/2/9.81/MAX($F$4:$F$263)*$H95,"")</f>
        <v>7.5705987075825154E-2</v>
      </c>
      <c r="U95" s="19">
        <f t="shared" si="47"/>
        <v>1.3509537140607977</v>
      </c>
      <c r="V95" s="19">
        <f t="shared" si="33"/>
        <v>0</v>
      </c>
      <c r="W95" s="19">
        <f t="shared" si="34"/>
        <v>95.639354642747662</v>
      </c>
      <c r="X95" s="23">
        <f t="shared" si="35"/>
        <v>1024.0373546427477</v>
      </c>
      <c r="Y95" s="22">
        <f>(1/(2*LOG(3.7*$I95/'Calculation Constants'!$B$3*1000)))^2</f>
        <v>9.8211436332891755E-3</v>
      </c>
      <c r="Z95" s="19">
        <f t="shared" si="36"/>
        <v>1.431963236834217</v>
      </c>
      <c r="AA95" s="19">
        <f>IF($H95&gt;0,'Calculation Constants'!$B$9*Hydraulics!$K95^2/2/9.81/MAX($F$4:$F$263)*$H95,"")</f>
        <v>7.5705987075825154E-2</v>
      </c>
      <c r="AB95" s="19">
        <f t="shared" si="55"/>
        <v>1.5076692239100422</v>
      </c>
      <c r="AC95" s="19">
        <f t="shared" si="37"/>
        <v>0</v>
      </c>
      <c r="AD95" s="19">
        <f t="shared" si="48"/>
        <v>85.54037140579976</v>
      </c>
      <c r="AE95" s="23">
        <f t="shared" si="38"/>
        <v>1013.9383714057998</v>
      </c>
      <c r="AF95" s="27">
        <f>(1/(2*LOG(3.7*$I95/'Calculation Constants'!$B$4*1000)))^2</f>
        <v>1.1575055557914658E-2</v>
      </c>
      <c r="AG95" s="19">
        <f t="shared" si="39"/>
        <v>1.6876908272744866</v>
      </c>
      <c r="AH95" s="19">
        <f>IF($H95&gt;0,'Calculation Constants'!$B$9*Hydraulics!$K95^2/2/9.81/MAX($F$4:$F$263)*$H95,"")</f>
        <v>7.5705987075825154E-2</v>
      </c>
      <c r="AI95" s="19">
        <f t="shared" si="49"/>
        <v>1.7633968143503118</v>
      </c>
      <c r="AJ95" s="19">
        <f t="shared" si="40"/>
        <v>0</v>
      </c>
      <c r="AK95" s="19">
        <f t="shared" si="50"/>
        <v>69.073671546134506</v>
      </c>
      <c r="AL95" s="23">
        <f t="shared" si="41"/>
        <v>997.47167154613453</v>
      </c>
      <c r="AM95" s="22">
        <f>(1/(2*LOG(3.7*($I95-0.008)/'Calculation Constants'!$B$5*1000)))^2</f>
        <v>1.4709705891825043E-2</v>
      </c>
      <c r="AN95" s="19">
        <f t="shared" si="51"/>
        <v>2.1543104841910781</v>
      </c>
      <c r="AO95" s="19">
        <f>IF($H95&gt;0,'Calculation Constants'!$B$9*Hydraulics!$K95^2/2/9.81/MAX($F$4:$F$263)*$H95,"")</f>
        <v>7.5705987075825154E-2</v>
      </c>
      <c r="AP95" s="19">
        <f t="shared" si="52"/>
        <v>2.2300164712669033</v>
      </c>
      <c r="AQ95" s="19">
        <f t="shared" si="42"/>
        <v>0</v>
      </c>
      <c r="AR95" s="19">
        <f t="shared" si="53"/>
        <v>39.092735725349939</v>
      </c>
      <c r="AS95" s="23">
        <f t="shared" si="43"/>
        <v>967.49073572534996</v>
      </c>
    </row>
    <row r="96" spans="5:45">
      <c r="E96" s="35" t="str">
        <f t="shared" si="29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4"/>
        <v>2</v>
      </c>
      <c r="I96" s="19">
        <v>1.8</v>
      </c>
      <c r="J96" s="36">
        <f>'Flow Rate Calculations'!$B$7</f>
        <v>4.0831050228310497</v>
      </c>
      <c r="K96" s="36">
        <f t="shared" si="44"/>
        <v>1.6045588828318709</v>
      </c>
      <c r="L96" s="37">
        <f>$I96*$K96/'Calculation Constants'!$B$7</f>
        <v>2555934.503625989</v>
      </c>
      <c r="M96" s="37">
        <f t="shared" si="30"/>
        <v>180.80400000000009</v>
      </c>
      <c r="N96" s="23">
        <f t="shared" si="45"/>
        <v>91.820400928686922</v>
      </c>
      <c r="O96" s="57">
        <f t="shared" si="31"/>
        <v>180.80400000000009</v>
      </c>
      <c r="P96" s="66">
        <f>MAX(I96*1000/'Calculation Constants'!$B$14,O96*10*I96*1000/2/('Calculation Constants'!$B$12*1000*'Calculation Constants'!$B$13))</f>
        <v>11.25</v>
      </c>
      <c r="Q96" s="68">
        <f t="shared" si="32"/>
        <v>992548.40161508287</v>
      </c>
      <c r="R96" s="27">
        <f>(1/(2*LOG(3.7*$I96/'Calculation Constants'!$B$2*1000)))^2</f>
        <v>8.7463077071963571E-3</v>
      </c>
      <c r="S96" s="19">
        <f t="shared" si="46"/>
        <v>1.2752477269849725</v>
      </c>
      <c r="T96" s="19">
        <f>IF($H96&gt;0,'Calculation Constants'!$B$9*Hydraulics!$K96^2/2/9.81/MAX($F$4:$F$263)*$H96,"")</f>
        <v>7.5705987075825154E-2</v>
      </c>
      <c r="U96" s="19">
        <f t="shared" si="47"/>
        <v>1.3509537140607977</v>
      </c>
      <c r="V96" s="19">
        <f t="shared" si="33"/>
        <v>0</v>
      </c>
      <c r="W96" s="19">
        <f t="shared" si="34"/>
        <v>91.820400928686922</v>
      </c>
      <c r="X96" s="23">
        <f t="shared" si="35"/>
        <v>1022.6864009286869</v>
      </c>
      <c r="Y96" s="22">
        <f>(1/(2*LOG(3.7*$I96/'Calculation Constants'!$B$3*1000)))^2</f>
        <v>9.8211436332891755E-3</v>
      </c>
      <c r="Z96" s="19">
        <f t="shared" si="36"/>
        <v>1.431963236834217</v>
      </c>
      <c r="AA96" s="19">
        <f>IF($H96&gt;0,'Calculation Constants'!$B$9*Hydraulics!$K96^2/2/9.81/MAX($F$4:$F$263)*$H96,"")</f>
        <v>7.5705987075825154E-2</v>
      </c>
      <c r="AB96" s="19">
        <f t="shared" si="55"/>
        <v>1.5076692239100422</v>
      </c>
      <c r="AC96" s="19">
        <f t="shared" si="37"/>
        <v>0</v>
      </c>
      <c r="AD96" s="19">
        <f t="shared" si="48"/>
        <v>81.564702181889743</v>
      </c>
      <c r="AE96" s="23">
        <f t="shared" si="38"/>
        <v>1012.4307021818897</v>
      </c>
      <c r="AF96" s="27">
        <f>(1/(2*LOG(3.7*$I96/'Calculation Constants'!$B$4*1000)))^2</f>
        <v>1.1575055557914658E-2</v>
      </c>
      <c r="AG96" s="19">
        <f t="shared" si="39"/>
        <v>1.6876908272744866</v>
      </c>
      <c r="AH96" s="19">
        <f>IF($H96&gt;0,'Calculation Constants'!$B$9*Hydraulics!$K96^2/2/9.81/MAX($F$4:$F$263)*$H96,"")</f>
        <v>7.5705987075825154E-2</v>
      </c>
      <c r="AI96" s="19">
        <f t="shared" si="49"/>
        <v>1.7633968143503118</v>
      </c>
      <c r="AJ96" s="19">
        <f t="shared" si="40"/>
        <v>0</v>
      </c>
      <c r="AK96" s="19">
        <f t="shared" si="50"/>
        <v>64.842274731784187</v>
      </c>
      <c r="AL96" s="23">
        <f t="shared" si="41"/>
        <v>995.70827473178417</v>
      </c>
      <c r="AM96" s="22">
        <f>(1/(2*LOG(3.7*($I96-0.008)/'Calculation Constants'!$B$5*1000)))^2</f>
        <v>1.4709705891825043E-2</v>
      </c>
      <c r="AN96" s="19">
        <f t="shared" si="51"/>
        <v>2.1543104841910781</v>
      </c>
      <c r="AO96" s="19">
        <f>IF($H96&gt;0,'Calculation Constants'!$B$9*Hydraulics!$K96^2/2/9.81/MAX($F$4:$F$263)*$H96,"")</f>
        <v>7.5705987075825154E-2</v>
      </c>
      <c r="AP96" s="19">
        <f t="shared" si="52"/>
        <v>2.2300164712669033</v>
      </c>
      <c r="AQ96" s="19">
        <f t="shared" si="42"/>
        <v>0</v>
      </c>
      <c r="AR96" s="19">
        <f t="shared" si="53"/>
        <v>34.394719254083043</v>
      </c>
      <c r="AS96" s="23">
        <f t="shared" si="43"/>
        <v>965.26071925408303</v>
      </c>
    </row>
    <row r="97" spans="5:45">
      <c r="E97" s="35" t="str">
        <f t="shared" si="29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4"/>
        <v>2</v>
      </c>
      <c r="I97" s="19">
        <v>1.8</v>
      </c>
      <c r="J97" s="36">
        <f>'Flow Rate Calculations'!$B$7</f>
        <v>4.0831050228310497</v>
      </c>
      <c r="K97" s="36">
        <f t="shared" si="44"/>
        <v>1.6045588828318709</v>
      </c>
      <c r="L97" s="37">
        <f>$I97*$K97/'Calculation Constants'!$B$7</f>
        <v>2555934.503625989</v>
      </c>
      <c r="M97" s="37">
        <f t="shared" si="30"/>
        <v>183.25900000000013</v>
      </c>
      <c r="N97" s="23">
        <f t="shared" si="45"/>
        <v>92.924447214626184</v>
      </c>
      <c r="O97" s="57">
        <f t="shared" si="31"/>
        <v>183.25900000000013</v>
      </c>
      <c r="P97" s="66">
        <f>MAX(I97*1000/'Calculation Constants'!$B$14,O97*10*I97*1000/2/('Calculation Constants'!$B$12*1000*'Calculation Constants'!$B$13))</f>
        <v>11.25</v>
      </c>
      <c r="Q97" s="68">
        <f t="shared" si="32"/>
        <v>992548.40161508287</v>
      </c>
      <c r="R97" s="27">
        <f>(1/(2*LOG(3.7*$I97/'Calculation Constants'!$B$2*1000)))^2</f>
        <v>8.7463077071963571E-3</v>
      </c>
      <c r="S97" s="19">
        <f t="shared" si="46"/>
        <v>1.2752477269849725</v>
      </c>
      <c r="T97" s="19">
        <f>IF($H97&gt;0,'Calculation Constants'!$B$9*Hydraulics!$K97^2/2/9.81/MAX($F$4:$F$263)*$H97,"")</f>
        <v>7.5705987075825154E-2</v>
      </c>
      <c r="U97" s="19">
        <f t="shared" si="47"/>
        <v>1.3509537140607977</v>
      </c>
      <c r="V97" s="19">
        <f t="shared" si="33"/>
        <v>0</v>
      </c>
      <c r="W97" s="19">
        <f t="shared" si="34"/>
        <v>92.924447214626184</v>
      </c>
      <c r="X97" s="23">
        <f t="shared" si="35"/>
        <v>1021.3354472146261</v>
      </c>
      <c r="Y97" s="22">
        <f>(1/(2*LOG(3.7*$I97/'Calculation Constants'!$B$3*1000)))^2</f>
        <v>9.8211436332891755E-3</v>
      </c>
      <c r="Z97" s="19">
        <f t="shared" si="36"/>
        <v>1.431963236834217</v>
      </c>
      <c r="AA97" s="19">
        <f>IF($H97&gt;0,'Calculation Constants'!$B$9*Hydraulics!$K97^2/2/9.81/MAX($F$4:$F$263)*$H97,"")</f>
        <v>7.5705987075825154E-2</v>
      </c>
      <c r="AB97" s="19">
        <f t="shared" si="55"/>
        <v>1.5076692239100422</v>
      </c>
      <c r="AC97" s="19">
        <f t="shared" si="37"/>
        <v>0</v>
      </c>
      <c r="AD97" s="19">
        <f t="shared" si="48"/>
        <v>82.512032957979727</v>
      </c>
      <c r="AE97" s="23">
        <f t="shared" si="38"/>
        <v>1010.9230329579797</v>
      </c>
      <c r="AF97" s="27">
        <f>(1/(2*LOG(3.7*$I97/'Calculation Constants'!$B$4*1000)))^2</f>
        <v>1.1575055557914658E-2</v>
      </c>
      <c r="AG97" s="19">
        <f t="shared" si="39"/>
        <v>1.6876908272744866</v>
      </c>
      <c r="AH97" s="19">
        <f>IF($H97&gt;0,'Calculation Constants'!$B$9*Hydraulics!$K97^2/2/9.81/MAX($F$4:$F$263)*$H97,"")</f>
        <v>7.5705987075825154E-2</v>
      </c>
      <c r="AI97" s="19">
        <f t="shared" si="49"/>
        <v>1.7633968143503118</v>
      </c>
      <c r="AJ97" s="19">
        <f t="shared" si="40"/>
        <v>0</v>
      </c>
      <c r="AK97" s="19">
        <f t="shared" si="50"/>
        <v>65.53387791743387</v>
      </c>
      <c r="AL97" s="23">
        <f t="shared" si="41"/>
        <v>993.94487791743381</v>
      </c>
      <c r="AM97" s="22">
        <f>(1/(2*LOG(3.7*($I97-0.008)/'Calculation Constants'!$B$5*1000)))^2</f>
        <v>1.4709705891825043E-2</v>
      </c>
      <c r="AN97" s="19">
        <f t="shared" si="51"/>
        <v>2.1543104841910781</v>
      </c>
      <c r="AO97" s="19">
        <f>IF($H97&gt;0,'Calculation Constants'!$B$9*Hydraulics!$K97^2/2/9.81/MAX($F$4:$F$263)*$H97,"")</f>
        <v>7.5705987075825154E-2</v>
      </c>
      <c r="AP97" s="19">
        <f t="shared" si="52"/>
        <v>2.2300164712669033</v>
      </c>
      <c r="AQ97" s="19">
        <f t="shared" si="42"/>
        <v>0</v>
      </c>
      <c r="AR97" s="19">
        <f t="shared" si="53"/>
        <v>34.619702782816148</v>
      </c>
      <c r="AS97" s="23">
        <f t="shared" si="43"/>
        <v>963.03070278281609</v>
      </c>
    </row>
    <row r="98" spans="5:45">
      <c r="E98" s="35" t="str">
        <f t="shared" si="29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4"/>
        <v>2</v>
      </c>
      <c r="I98" s="19">
        <v>1.8</v>
      </c>
      <c r="J98" s="36">
        <f>'Flow Rate Calculations'!$B$7</f>
        <v>4.0831050228310497</v>
      </c>
      <c r="K98" s="36">
        <f t="shared" si="44"/>
        <v>1.6045588828318709</v>
      </c>
      <c r="L98" s="37">
        <f>$I98*$K98/'Calculation Constants'!$B$7</f>
        <v>2555934.503625989</v>
      </c>
      <c r="M98" s="37">
        <f t="shared" si="30"/>
        <v>183.82100000000003</v>
      </c>
      <c r="N98" s="23">
        <f t="shared" si="45"/>
        <v>92.135493500565303</v>
      </c>
      <c r="O98" s="57">
        <f t="shared" si="31"/>
        <v>183.82100000000003</v>
      </c>
      <c r="P98" s="66">
        <f>MAX(I98*1000/'Calculation Constants'!$B$14,O98*10*I98*1000/2/('Calculation Constants'!$B$12*1000*'Calculation Constants'!$B$13))</f>
        <v>11.25</v>
      </c>
      <c r="Q98" s="68">
        <f t="shared" si="32"/>
        <v>992548.40161508287</v>
      </c>
      <c r="R98" s="27">
        <f>(1/(2*LOG(3.7*$I98/'Calculation Constants'!$B$2*1000)))^2</f>
        <v>8.7463077071963571E-3</v>
      </c>
      <c r="S98" s="19">
        <f t="shared" si="46"/>
        <v>1.2752477269849725</v>
      </c>
      <c r="T98" s="19">
        <f>IF($H98&gt;0,'Calculation Constants'!$B$9*Hydraulics!$K98^2/2/9.81/MAX($F$4:$F$263)*$H98,"")</f>
        <v>7.5705987075825154E-2</v>
      </c>
      <c r="U98" s="19">
        <f t="shared" si="47"/>
        <v>1.3509537140607977</v>
      </c>
      <c r="V98" s="19">
        <f t="shared" si="33"/>
        <v>0</v>
      </c>
      <c r="W98" s="19">
        <f t="shared" si="34"/>
        <v>92.135493500565303</v>
      </c>
      <c r="X98" s="23">
        <f t="shared" si="35"/>
        <v>1019.9844935005653</v>
      </c>
      <c r="Y98" s="22">
        <f>(1/(2*LOG(3.7*$I98/'Calculation Constants'!$B$3*1000)))^2</f>
        <v>9.8211436332891755E-3</v>
      </c>
      <c r="Z98" s="19">
        <f t="shared" si="36"/>
        <v>1.431963236834217</v>
      </c>
      <c r="AA98" s="19">
        <f>IF($H98&gt;0,'Calculation Constants'!$B$9*Hydraulics!$K98^2/2/9.81/MAX($F$4:$F$263)*$H98,"")</f>
        <v>7.5705987075825154E-2</v>
      </c>
      <c r="AB98" s="19">
        <f t="shared" si="55"/>
        <v>1.5076692239100422</v>
      </c>
      <c r="AC98" s="19">
        <f t="shared" si="37"/>
        <v>0</v>
      </c>
      <c r="AD98" s="19">
        <f t="shared" si="48"/>
        <v>81.566363734069569</v>
      </c>
      <c r="AE98" s="23">
        <f t="shared" si="38"/>
        <v>1009.4153637340696</v>
      </c>
      <c r="AF98" s="27">
        <f>(1/(2*LOG(3.7*$I98/'Calculation Constants'!$B$4*1000)))^2</f>
        <v>1.1575055557914658E-2</v>
      </c>
      <c r="AG98" s="19">
        <f t="shared" si="39"/>
        <v>1.6876908272744866</v>
      </c>
      <c r="AH98" s="19">
        <f>IF($H98&gt;0,'Calculation Constants'!$B$9*Hydraulics!$K98^2/2/9.81/MAX($F$4:$F$263)*$H98,"")</f>
        <v>7.5705987075825154E-2</v>
      </c>
      <c r="AI98" s="19">
        <f t="shared" si="49"/>
        <v>1.7633968143503118</v>
      </c>
      <c r="AJ98" s="19">
        <f t="shared" si="40"/>
        <v>0</v>
      </c>
      <c r="AK98" s="19">
        <f t="shared" si="50"/>
        <v>64.33248110308341</v>
      </c>
      <c r="AL98" s="23">
        <f t="shared" si="41"/>
        <v>992.18148110308346</v>
      </c>
      <c r="AM98" s="22">
        <f>(1/(2*LOG(3.7*($I98-0.008)/'Calculation Constants'!$B$5*1000)))^2</f>
        <v>1.4709705891825043E-2</v>
      </c>
      <c r="AN98" s="19">
        <f t="shared" si="51"/>
        <v>2.1543104841910781</v>
      </c>
      <c r="AO98" s="19">
        <f>IF($H98&gt;0,'Calculation Constants'!$B$9*Hydraulics!$K98^2/2/9.81/MAX($F$4:$F$263)*$H98,"")</f>
        <v>7.5705987075825154E-2</v>
      </c>
      <c r="AP98" s="19">
        <f t="shared" si="52"/>
        <v>2.2300164712669033</v>
      </c>
      <c r="AQ98" s="19">
        <f t="shared" si="42"/>
        <v>0</v>
      </c>
      <c r="AR98" s="19">
        <f t="shared" si="53"/>
        <v>32.951686311549111</v>
      </c>
      <c r="AS98" s="23">
        <f t="shared" si="43"/>
        <v>960.80068631154916</v>
      </c>
    </row>
    <row r="99" spans="5:45">
      <c r="E99" s="35" t="str">
        <f t="shared" si="29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4"/>
        <v>2</v>
      </c>
      <c r="I99" s="19">
        <v>1.8</v>
      </c>
      <c r="J99" s="36">
        <f>'Flow Rate Calculations'!$B$7</f>
        <v>4.0831050228310497</v>
      </c>
      <c r="K99" s="36">
        <f t="shared" si="44"/>
        <v>1.6045588828318709</v>
      </c>
      <c r="L99" s="37">
        <f>$I99*$K99/'Calculation Constants'!$B$7</f>
        <v>2555934.503625989</v>
      </c>
      <c r="M99" s="37">
        <f t="shared" si="30"/>
        <v>184.96000000000004</v>
      </c>
      <c r="N99" s="23">
        <f t="shared" si="45"/>
        <v>91.923539786504534</v>
      </c>
      <c r="O99" s="57">
        <f t="shared" si="31"/>
        <v>184.96000000000004</v>
      </c>
      <c r="P99" s="66">
        <f>MAX(I99*1000/'Calculation Constants'!$B$14,O99*10*I99*1000/2/('Calculation Constants'!$B$12*1000*'Calculation Constants'!$B$13))</f>
        <v>11.25</v>
      </c>
      <c r="Q99" s="68">
        <f t="shared" si="32"/>
        <v>992548.40161508287</v>
      </c>
      <c r="R99" s="27">
        <f>(1/(2*LOG(3.7*$I99/'Calculation Constants'!$B$2*1000)))^2</f>
        <v>8.7463077071963571E-3</v>
      </c>
      <c r="S99" s="19">
        <f t="shared" si="46"/>
        <v>1.2752477269849725</v>
      </c>
      <c r="T99" s="19">
        <f>IF($H99&gt;0,'Calculation Constants'!$B$9*Hydraulics!$K99^2/2/9.81/MAX($F$4:$F$263)*$H99,"")</f>
        <v>7.5705987075825154E-2</v>
      </c>
      <c r="U99" s="19">
        <f t="shared" si="47"/>
        <v>1.3509537140607977</v>
      </c>
      <c r="V99" s="19">
        <f t="shared" si="33"/>
        <v>0</v>
      </c>
      <c r="W99" s="19">
        <f t="shared" si="34"/>
        <v>91.923539786504534</v>
      </c>
      <c r="X99" s="23">
        <f t="shared" si="35"/>
        <v>1018.6335397865046</v>
      </c>
      <c r="Y99" s="22">
        <f>(1/(2*LOG(3.7*$I99/'Calculation Constants'!$B$3*1000)))^2</f>
        <v>9.8211436332891755E-3</v>
      </c>
      <c r="Z99" s="19">
        <f t="shared" si="36"/>
        <v>1.431963236834217</v>
      </c>
      <c r="AA99" s="19">
        <f>IF($H99&gt;0,'Calculation Constants'!$B$9*Hydraulics!$K99^2/2/9.81/MAX($F$4:$F$263)*$H99,"")</f>
        <v>7.5705987075825154E-2</v>
      </c>
      <c r="AB99" s="19">
        <f t="shared" si="55"/>
        <v>1.5076692239100422</v>
      </c>
      <c r="AC99" s="19">
        <f t="shared" si="37"/>
        <v>0</v>
      </c>
      <c r="AD99" s="19">
        <f t="shared" si="48"/>
        <v>81.197694510159522</v>
      </c>
      <c r="AE99" s="23">
        <f t="shared" si="38"/>
        <v>1007.9076945101596</v>
      </c>
      <c r="AF99" s="27">
        <f>(1/(2*LOG(3.7*$I99/'Calculation Constants'!$B$4*1000)))^2</f>
        <v>1.1575055557914658E-2</v>
      </c>
      <c r="AG99" s="19">
        <f t="shared" si="39"/>
        <v>1.6876908272744866</v>
      </c>
      <c r="AH99" s="19">
        <f>IF($H99&gt;0,'Calculation Constants'!$B$9*Hydraulics!$K99^2/2/9.81/MAX($F$4:$F$263)*$H99,"")</f>
        <v>7.5705987075825154E-2</v>
      </c>
      <c r="AI99" s="19">
        <f t="shared" si="49"/>
        <v>1.7633968143503118</v>
      </c>
      <c r="AJ99" s="19">
        <f t="shared" si="40"/>
        <v>0</v>
      </c>
      <c r="AK99" s="19">
        <f t="shared" si="50"/>
        <v>63.708084288733062</v>
      </c>
      <c r="AL99" s="23">
        <f t="shared" si="41"/>
        <v>990.4180842887331</v>
      </c>
      <c r="AM99" s="22">
        <f>(1/(2*LOG(3.7*($I99-0.008)/'Calculation Constants'!$B$5*1000)))^2</f>
        <v>1.4709705891825043E-2</v>
      </c>
      <c r="AN99" s="19">
        <f t="shared" si="51"/>
        <v>2.1543104841910781</v>
      </c>
      <c r="AO99" s="19">
        <f>IF($H99&gt;0,'Calculation Constants'!$B$9*Hydraulics!$K99^2/2/9.81/MAX($F$4:$F$263)*$H99,"")</f>
        <v>7.5705987075825154E-2</v>
      </c>
      <c r="AP99" s="19">
        <f t="shared" si="52"/>
        <v>2.2300164712669033</v>
      </c>
      <c r="AQ99" s="19">
        <f t="shared" si="42"/>
        <v>0</v>
      </c>
      <c r="AR99" s="19">
        <f t="shared" si="53"/>
        <v>31.860669840282185</v>
      </c>
      <c r="AS99" s="23">
        <f t="shared" si="43"/>
        <v>958.57066984028222</v>
      </c>
    </row>
    <row r="100" spans="5:45">
      <c r="E100" s="35" t="str">
        <f t="shared" si="29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4"/>
        <v>2</v>
      </c>
      <c r="I100" s="19">
        <v>1.8</v>
      </c>
      <c r="J100" s="36">
        <f>'Flow Rate Calculations'!$B$7</f>
        <v>4.0831050228310497</v>
      </c>
      <c r="K100" s="36">
        <f t="shared" si="44"/>
        <v>1.6045588828318709</v>
      </c>
      <c r="L100" s="37">
        <f>$I100*$K100/'Calculation Constants'!$B$7</f>
        <v>2555934.503625989</v>
      </c>
      <c r="M100" s="37">
        <f t="shared" si="30"/>
        <v>185.46900000000005</v>
      </c>
      <c r="N100" s="23">
        <f t="shared" si="45"/>
        <v>91.08158607244377</v>
      </c>
      <c r="O100" s="57">
        <f t="shared" si="31"/>
        <v>185.46900000000005</v>
      </c>
      <c r="P100" s="66">
        <f>MAX(I100*1000/'Calculation Constants'!$B$14,O100*10*I100*1000/2/('Calculation Constants'!$B$12*1000*'Calculation Constants'!$B$13))</f>
        <v>11.25</v>
      </c>
      <c r="Q100" s="68">
        <f t="shared" si="32"/>
        <v>992548.40161508287</v>
      </c>
      <c r="R100" s="27">
        <f>(1/(2*LOG(3.7*$I100/'Calculation Constants'!$B$2*1000)))^2</f>
        <v>8.7463077071963571E-3</v>
      </c>
      <c r="S100" s="19">
        <f t="shared" si="46"/>
        <v>1.2752477269849725</v>
      </c>
      <c r="T100" s="19">
        <f>IF($H100&gt;0,'Calculation Constants'!$B$9*Hydraulics!$K100^2/2/9.81/MAX($F$4:$F$263)*$H100,"")</f>
        <v>7.5705987075825154E-2</v>
      </c>
      <c r="U100" s="19">
        <f t="shared" si="47"/>
        <v>1.3509537140607977</v>
      </c>
      <c r="V100" s="19">
        <f t="shared" si="33"/>
        <v>0</v>
      </c>
      <c r="W100" s="19">
        <f t="shared" si="34"/>
        <v>91.08158607244377</v>
      </c>
      <c r="X100" s="23">
        <f t="shared" si="35"/>
        <v>1017.2825860724438</v>
      </c>
      <c r="Y100" s="22">
        <f>(1/(2*LOG(3.7*$I100/'Calculation Constants'!$B$3*1000)))^2</f>
        <v>9.8211436332891755E-3</v>
      </c>
      <c r="Z100" s="19">
        <f t="shared" si="36"/>
        <v>1.431963236834217</v>
      </c>
      <c r="AA100" s="19">
        <f>IF($H100&gt;0,'Calculation Constants'!$B$9*Hydraulics!$K100^2/2/9.81/MAX($F$4:$F$263)*$H100,"")</f>
        <v>7.5705987075825154E-2</v>
      </c>
      <c r="AB100" s="19">
        <f t="shared" si="55"/>
        <v>1.5076692239100422</v>
      </c>
      <c r="AC100" s="19">
        <f t="shared" si="37"/>
        <v>0</v>
      </c>
      <c r="AD100" s="19">
        <f t="shared" si="48"/>
        <v>80.19902528624948</v>
      </c>
      <c r="AE100" s="23">
        <f t="shared" si="38"/>
        <v>1006.4000252862495</v>
      </c>
      <c r="AF100" s="27">
        <f>(1/(2*LOG(3.7*$I100/'Calculation Constants'!$B$4*1000)))^2</f>
        <v>1.1575055557914658E-2</v>
      </c>
      <c r="AG100" s="19">
        <f t="shared" si="39"/>
        <v>1.6876908272744866</v>
      </c>
      <c r="AH100" s="19">
        <f>IF($H100&gt;0,'Calculation Constants'!$B$9*Hydraulics!$K100^2/2/9.81/MAX($F$4:$F$263)*$H100,"")</f>
        <v>7.5705987075825154E-2</v>
      </c>
      <c r="AI100" s="19">
        <f t="shared" si="49"/>
        <v>1.7633968143503118</v>
      </c>
      <c r="AJ100" s="19">
        <f t="shared" si="40"/>
        <v>0</v>
      </c>
      <c r="AK100" s="19">
        <f t="shared" si="50"/>
        <v>62.453687474382718</v>
      </c>
      <c r="AL100" s="23">
        <f t="shared" si="41"/>
        <v>988.65468747438274</v>
      </c>
      <c r="AM100" s="22">
        <f>(1/(2*LOG(3.7*($I100-0.008)/'Calculation Constants'!$B$5*1000)))^2</f>
        <v>1.4709705891825043E-2</v>
      </c>
      <c r="AN100" s="19">
        <f t="shared" si="51"/>
        <v>2.1543104841910781</v>
      </c>
      <c r="AO100" s="19">
        <f>IF($H100&gt;0,'Calculation Constants'!$B$9*Hydraulics!$K100^2/2/9.81/MAX($F$4:$F$263)*$H100,"")</f>
        <v>7.5705987075825154E-2</v>
      </c>
      <c r="AP100" s="19">
        <f t="shared" si="52"/>
        <v>2.2300164712669033</v>
      </c>
      <c r="AQ100" s="19">
        <f t="shared" si="42"/>
        <v>0</v>
      </c>
      <c r="AR100" s="19">
        <f t="shared" si="53"/>
        <v>30.139653369015264</v>
      </c>
      <c r="AS100" s="23">
        <f t="shared" si="43"/>
        <v>956.34065336901529</v>
      </c>
    </row>
    <row r="101" spans="5:45">
      <c r="E101" s="35" t="str">
        <f t="shared" si="29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4"/>
        <v>2</v>
      </c>
      <c r="I101" s="19">
        <v>1.8</v>
      </c>
      <c r="J101" s="36">
        <f>'Flow Rate Calculations'!$B$7</f>
        <v>4.0831050228310497</v>
      </c>
      <c r="K101" s="36">
        <f t="shared" si="44"/>
        <v>1.6045588828318709</v>
      </c>
      <c r="L101" s="37">
        <f>$I101*$K101/'Calculation Constants'!$B$7</f>
        <v>2555934.503625989</v>
      </c>
      <c r="M101" s="37">
        <f t="shared" si="30"/>
        <v>187.16100000000006</v>
      </c>
      <c r="N101" s="23">
        <f t="shared" si="45"/>
        <v>91.422632358382998</v>
      </c>
      <c r="O101" s="57">
        <f t="shared" si="31"/>
        <v>187.16100000000006</v>
      </c>
      <c r="P101" s="66">
        <f>MAX(I101*1000/'Calculation Constants'!$B$14,O101*10*I101*1000/2/('Calculation Constants'!$B$12*1000*'Calculation Constants'!$B$13))</f>
        <v>11.25</v>
      </c>
      <c r="Q101" s="68">
        <f t="shared" si="32"/>
        <v>992548.40161508287</v>
      </c>
      <c r="R101" s="27">
        <f>(1/(2*LOG(3.7*$I101/'Calculation Constants'!$B$2*1000)))^2</f>
        <v>8.7463077071963571E-3</v>
      </c>
      <c r="S101" s="19">
        <f t="shared" si="46"/>
        <v>1.2752477269849725</v>
      </c>
      <c r="T101" s="19">
        <f>IF($H101&gt;0,'Calculation Constants'!$B$9*Hydraulics!$K101^2/2/9.81/MAX($F$4:$F$263)*$H101,"")</f>
        <v>7.5705987075825154E-2</v>
      </c>
      <c r="U101" s="19">
        <f t="shared" si="47"/>
        <v>1.3509537140607977</v>
      </c>
      <c r="V101" s="19">
        <f t="shared" si="33"/>
        <v>0</v>
      </c>
      <c r="W101" s="19">
        <f t="shared" si="34"/>
        <v>91.422632358382998</v>
      </c>
      <c r="X101" s="23">
        <f t="shared" si="35"/>
        <v>1015.931632358383</v>
      </c>
      <c r="Y101" s="22">
        <f>(1/(2*LOG(3.7*$I101/'Calculation Constants'!$B$3*1000)))^2</f>
        <v>9.8211436332891755E-3</v>
      </c>
      <c r="Z101" s="19">
        <f t="shared" si="36"/>
        <v>1.431963236834217</v>
      </c>
      <c r="AA101" s="19">
        <f>IF($H101&gt;0,'Calculation Constants'!$B$9*Hydraulics!$K101^2/2/9.81/MAX($F$4:$F$263)*$H101,"")</f>
        <v>7.5705987075825154E-2</v>
      </c>
      <c r="AB101" s="19">
        <f t="shared" si="55"/>
        <v>1.5076692239100422</v>
      </c>
      <c r="AC101" s="19">
        <f t="shared" si="37"/>
        <v>0</v>
      </c>
      <c r="AD101" s="19">
        <f t="shared" si="48"/>
        <v>80.383356062339431</v>
      </c>
      <c r="AE101" s="23">
        <f t="shared" si="38"/>
        <v>1004.8923560623394</v>
      </c>
      <c r="AF101" s="27">
        <f>(1/(2*LOG(3.7*$I101/'Calculation Constants'!$B$4*1000)))^2</f>
        <v>1.1575055557914658E-2</v>
      </c>
      <c r="AG101" s="19">
        <f t="shared" si="39"/>
        <v>1.6876908272744866</v>
      </c>
      <c r="AH101" s="19">
        <f>IF($H101&gt;0,'Calculation Constants'!$B$9*Hydraulics!$K101^2/2/9.81/MAX($F$4:$F$263)*$H101,"")</f>
        <v>7.5705987075825154E-2</v>
      </c>
      <c r="AI101" s="19">
        <f t="shared" si="49"/>
        <v>1.7633968143503118</v>
      </c>
      <c r="AJ101" s="19">
        <f t="shared" si="40"/>
        <v>0</v>
      </c>
      <c r="AK101" s="19">
        <f t="shared" si="50"/>
        <v>62.382290660032368</v>
      </c>
      <c r="AL101" s="23">
        <f t="shared" si="41"/>
        <v>986.89129066003238</v>
      </c>
      <c r="AM101" s="22">
        <f>(1/(2*LOG(3.7*($I101-0.008)/'Calculation Constants'!$B$5*1000)))^2</f>
        <v>1.4709705891825043E-2</v>
      </c>
      <c r="AN101" s="19">
        <f t="shared" si="51"/>
        <v>2.1543104841910781</v>
      </c>
      <c r="AO101" s="19">
        <f>IF($H101&gt;0,'Calculation Constants'!$B$9*Hydraulics!$K101^2/2/9.81/MAX($F$4:$F$263)*$H101,"")</f>
        <v>7.5705987075825154E-2</v>
      </c>
      <c r="AP101" s="19">
        <f t="shared" si="52"/>
        <v>2.2300164712669033</v>
      </c>
      <c r="AQ101" s="19">
        <f t="shared" si="42"/>
        <v>0</v>
      </c>
      <c r="AR101" s="19">
        <f t="shared" si="53"/>
        <v>29.601636897748335</v>
      </c>
      <c r="AS101" s="23">
        <f t="shared" si="43"/>
        <v>954.11063689774835</v>
      </c>
    </row>
    <row r="102" spans="5:45">
      <c r="E102" s="35" t="str">
        <f t="shared" si="29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4"/>
        <v>2</v>
      </c>
      <c r="I102" s="19">
        <v>1.8</v>
      </c>
      <c r="J102" s="36">
        <f>'Flow Rate Calculations'!$B$7</f>
        <v>4.0831050228310497</v>
      </c>
      <c r="K102" s="36">
        <f t="shared" si="44"/>
        <v>1.6045588828318709</v>
      </c>
      <c r="L102" s="37">
        <f>$I102*$K102/'Calculation Constants'!$B$7</f>
        <v>2555934.503625989</v>
      </c>
      <c r="M102" s="37">
        <f t="shared" si="30"/>
        <v>188.25300000000004</v>
      </c>
      <c r="N102" s="23">
        <f t="shared" si="45"/>
        <v>91.163678644322204</v>
      </c>
      <c r="O102" s="57">
        <f t="shared" si="31"/>
        <v>188.25300000000004</v>
      </c>
      <c r="P102" s="66">
        <f>MAX(I102*1000/'Calculation Constants'!$B$14,O102*10*I102*1000/2/('Calculation Constants'!$B$12*1000*'Calculation Constants'!$B$13))</f>
        <v>11.295180000000004</v>
      </c>
      <c r="Q102" s="68">
        <f t="shared" si="32"/>
        <v>996509.30566606077</v>
      </c>
      <c r="R102" s="27">
        <f>(1/(2*LOG(3.7*$I102/'Calculation Constants'!$B$2*1000)))^2</f>
        <v>8.7463077071963571E-3</v>
      </c>
      <c r="S102" s="19">
        <f t="shared" si="46"/>
        <v>1.2752477269849725</v>
      </c>
      <c r="T102" s="19">
        <f>IF($H102&gt;0,'Calculation Constants'!$B$9*Hydraulics!$K102^2/2/9.81/MAX($F$4:$F$263)*$H102,"")</f>
        <v>7.5705987075825154E-2</v>
      </c>
      <c r="U102" s="19">
        <f t="shared" si="47"/>
        <v>1.3509537140607977</v>
      </c>
      <c r="V102" s="19">
        <f t="shared" si="33"/>
        <v>0</v>
      </c>
      <c r="W102" s="19">
        <f t="shared" si="34"/>
        <v>91.163678644322204</v>
      </c>
      <c r="X102" s="23">
        <f t="shared" si="35"/>
        <v>1014.5806786443222</v>
      </c>
      <c r="Y102" s="22">
        <f>(1/(2*LOG(3.7*$I102/'Calculation Constants'!$B$3*1000)))^2</f>
        <v>9.8211436332891755E-3</v>
      </c>
      <c r="Z102" s="19">
        <f t="shared" si="36"/>
        <v>1.431963236834217</v>
      </c>
      <c r="AA102" s="19">
        <f>IF($H102&gt;0,'Calculation Constants'!$B$9*Hydraulics!$K102^2/2/9.81/MAX($F$4:$F$263)*$H102,"")</f>
        <v>7.5705987075825154E-2</v>
      </c>
      <c r="AB102" s="19">
        <f t="shared" si="55"/>
        <v>1.5076692239100422</v>
      </c>
      <c r="AC102" s="19">
        <f t="shared" si="37"/>
        <v>0</v>
      </c>
      <c r="AD102" s="19">
        <f t="shared" si="48"/>
        <v>79.967686838429358</v>
      </c>
      <c r="AE102" s="23">
        <f t="shared" si="38"/>
        <v>1003.3846868384294</v>
      </c>
      <c r="AF102" s="27">
        <f>(1/(2*LOG(3.7*$I102/'Calculation Constants'!$B$4*1000)))^2</f>
        <v>1.1575055557914658E-2</v>
      </c>
      <c r="AG102" s="19">
        <f t="shared" si="39"/>
        <v>1.6876908272744866</v>
      </c>
      <c r="AH102" s="19">
        <f>IF($H102&gt;0,'Calculation Constants'!$B$9*Hydraulics!$K102^2/2/9.81/MAX($F$4:$F$263)*$H102,"")</f>
        <v>7.5705987075825154E-2</v>
      </c>
      <c r="AI102" s="19">
        <f t="shared" si="49"/>
        <v>1.7633968143503118</v>
      </c>
      <c r="AJ102" s="19">
        <f t="shared" si="40"/>
        <v>0</v>
      </c>
      <c r="AK102" s="19">
        <f t="shared" si="50"/>
        <v>61.710893845681994</v>
      </c>
      <c r="AL102" s="23">
        <f t="shared" si="41"/>
        <v>985.12789384568202</v>
      </c>
      <c r="AM102" s="22">
        <f>(1/(2*LOG(3.7*($I102-0.008)/'Calculation Constants'!$B$5*1000)))^2</f>
        <v>1.4709705891825043E-2</v>
      </c>
      <c r="AN102" s="19">
        <f t="shared" si="51"/>
        <v>2.1543104841910781</v>
      </c>
      <c r="AO102" s="19">
        <f>IF($H102&gt;0,'Calculation Constants'!$B$9*Hydraulics!$K102^2/2/9.81/MAX($F$4:$F$263)*$H102,"")</f>
        <v>7.5705987075825154E-2</v>
      </c>
      <c r="AP102" s="19">
        <f t="shared" si="52"/>
        <v>2.2300164712669033</v>
      </c>
      <c r="AQ102" s="19">
        <f t="shared" si="42"/>
        <v>0</v>
      </c>
      <c r="AR102" s="19">
        <f t="shared" si="53"/>
        <v>28.463620426481384</v>
      </c>
      <c r="AS102" s="23">
        <f t="shared" si="43"/>
        <v>951.88062042648141</v>
      </c>
    </row>
    <row r="103" spans="5:45">
      <c r="E103" s="35" t="str">
        <f t="shared" si="29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4"/>
        <v>2</v>
      </c>
      <c r="I103" s="19">
        <v>1.8</v>
      </c>
      <c r="J103" s="36">
        <f>'Flow Rate Calculations'!$B$7</f>
        <v>4.0831050228310497</v>
      </c>
      <c r="K103" s="36">
        <f t="shared" si="44"/>
        <v>1.6045588828318709</v>
      </c>
      <c r="L103" s="37">
        <f>$I103*$K103/'Calculation Constants'!$B$7</f>
        <v>2555934.503625989</v>
      </c>
      <c r="M103" s="37">
        <f t="shared" si="30"/>
        <v>188.65900000000011</v>
      </c>
      <c r="N103" s="23">
        <f t="shared" si="45"/>
        <v>90.218724930261487</v>
      </c>
      <c r="O103" s="57">
        <f t="shared" si="31"/>
        <v>188.65900000000011</v>
      </c>
      <c r="P103" s="66">
        <f>MAX(I103*1000/'Calculation Constants'!$B$14,O103*10*I103*1000/2/('Calculation Constants'!$B$12*1000*'Calculation Constants'!$B$13))</f>
        <v>11.319540000000007</v>
      </c>
      <c r="Q103" s="68">
        <f t="shared" si="32"/>
        <v>998644.84899855172</v>
      </c>
      <c r="R103" s="27">
        <f>(1/(2*LOG(3.7*$I103/'Calculation Constants'!$B$2*1000)))^2</f>
        <v>8.7463077071963571E-3</v>
      </c>
      <c r="S103" s="19">
        <f t="shared" si="46"/>
        <v>1.2752477269849725</v>
      </c>
      <c r="T103" s="19">
        <f>IF($H103&gt;0,'Calculation Constants'!$B$9*Hydraulics!$K103^2/2/9.81/MAX($F$4:$F$263)*$H103,"")</f>
        <v>7.5705987075825154E-2</v>
      </c>
      <c r="U103" s="19">
        <f t="shared" si="47"/>
        <v>1.3509537140607977</v>
      </c>
      <c r="V103" s="19">
        <f t="shared" si="33"/>
        <v>0</v>
      </c>
      <c r="W103" s="19">
        <f t="shared" si="34"/>
        <v>90.218724930261487</v>
      </c>
      <c r="X103" s="23">
        <f t="shared" si="35"/>
        <v>1013.2297249302615</v>
      </c>
      <c r="Y103" s="22">
        <f>(1/(2*LOG(3.7*$I103/'Calculation Constants'!$B$3*1000)))^2</f>
        <v>9.8211436332891755E-3</v>
      </c>
      <c r="Z103" s="19">
        <f t="shared" si="36"/>
        <v>1.431963236834217</v>
      </c>
      <c r="AA103" s="19">
        <f>IF($H103&gt;0,'Calculation Constants'!$B$9*Hydraulics!$K103^2/2/9.81/MAX($F$4:$F$263)*$H103,"")</f>
        <v>7.5705987075825154E-2</v>
      </c>
      <c r="AB103" s="19">
        <f t="shared" si="55"/>
        <v>1.5076692239100422</v>
      </c>
      <c r="AC103" s="19">
        <f t="shared" si="37"/>
        <v>0</v>
      </c>
      <c r="AD103" s="19">
        <f t="shared" si="48"/>
        <v>78.866017614519365</v>
      </c>
      <c r="AE103" s="23">
        <f t="shared" si="38"/>
        <v>1001.8770176145193</v>
      </c>
      <c r="AF103" s="27">
        <f>(1/(2*LOG(3.7*$I103/'Calculation Constants'!$B$4*1000)))^2</f>
        <v>1.1575055557914658E-2</v>
      </c>
      <c r="AG103" s="19">
        <f t="shared" si="39"/>
        <v>1.6876908272744866</v>
      </c>
      <c r="AH103" s="19">
        <f>IF($H103&gt;0,'Calculation Constants'!$B$9*Hydraulics!$K103^2/2/9.81/MAX($F$4:$F$263)*$H103,"")</f>
        <v>7.5705987075825154E-2</v>
      </c>
      <c r="AI103" s="19">
        <f t="shared" si="49"/>
        <v>1.7633968143503118</v>
      </c>
      <c r="AJ103" s="19">
        <f t="shared" si="40"/>
        <v>0</v>
      </c>
      <c r="AK103" s="19">
        <f t="shared" si="50"/>
        <v>60.353497031331699</v>
      </c>
      <c r="AL103" s="23">
        <f t="shared" si="41"/>
        <v>983.36449703133167</v>
      </c>
      <c r="AM103" s="22">
        <f>(1/(2*LOG(3.7*($I103-0.008)/'Calculation Constants'!$B$5*1000)))^2</f>
        <v>1.4709705891825043E-2</v>
      </c>
      <c r="AN103" s="19">
        <f t="shared" si="51"/>
        <v>2.1543104841910781</v>
      </c>
      <c r="AO103" s="19">
        <f>IF($H103&gt;0,'Calculation Constants'!$B$9*Hydraulics!$K103^2/2/9.81/MAX($F$4:$F$263)*$H103,"")</f>
        <v>7.5705987075825154E-2</v>
      </c>
      <c r="AP103" s="19">
        <f t="shared" si="52"/>
        <v>2.2300164712669033</v>
      </c>
      <c r="AQ103" s="19">
        <f t="shared" si="42"/>
        <v>0</v>
      </c>
      <c r="AR103" s="19">
        <f t="shared" si="53"/>
        <v>26.639603955214511</v>
      </c>
      <c r="AS103" s="23">
        <f t="shared" si="43"/>
        <v>949.65060395521448</v>
      </c>
    </row>
    <row r="104" spans="5:45">
      <c r="E104" s="35" t="str">
        <f t="shared" si="29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4"/>
        <v>2</v>
      </c>
      <c r="I104" s="19">
        <v>1.8</v>
      </c>
      <c r="J104" s="36">
        <f>'Flow Rate Calculations'!$B$7</f>
        <v>4.0831050228310497</v>
      </c>
      <c r="K104" s="36">
        <f t="shared" si="44"/>
        <v>1.6045588828318709</v>
      </c>
      <c r="L104" s="37">
        <f>$I104*$K104/'Calculation Constants'!$B$7</f>
        <v>2555934.503625989</v>
      </c>
      <c r="M104" s="37">
        <f t="shared" si="30"/>
        <v>189.70100000000002</v>
      </c>
      <c r="N104" s="23">
        <f t="shared" si="45"/>
        <v>89.909771216200625</v>
      </c>
      <c r="O104" s="57">
        <f t="shared" si="31"/>
        <v>189.70100000000002</v>
      </c>
      <c r="P104" s="66">
        <f>MAX(I104*1000/'Calculation Constants'!$B$14,O104*10*I104*1000/2/('Calculation Constants'!$B$12*1000*'Calculation Constants'!$B$13))</f>
        <v>11.382060000000001</v>
      </c>
      <c r="Q104" s="68">
        <f t="shared" si="32"/>
        <v>1004125.4583117398</v>
      </c>
      <c r="R104" s="27">
        <f>(1/(2*LOG(3.7*$I104/'Calculation Constants'!$B$2*1000)))^2</f>
        <v>8.7463077071963571E-3</v>
      </c>
      <c r="S104" s="19">
        <f t="shared" si="46"/>
        <v>1.2752477269849725</v>
      </c>
      <c r="T104" s="19">
        <f>IF($H104&gt;0,'Calculation Constants'!$B$9*Hydraulics!$K104^2/2/9.81/MAX($F$4:$F$263)*$H104,"")</f>
        <v>7.5705987075825154E-2</v>
      </c>
      <c r="U104" s="19">
        <f t="shared" si="47"/>
        <v>1.3509537140607977</v>
      </c>
      <c r="V104" s="19">
        <f t="shared" si="33"/>
        <v>0</v>
      </c>
      <c r="W104" s="19">
        <f t="shared" si="34"/>
        <v>89.909771216200625</v>
      </c>
      <c r="X104" s="23">
        <f t="shared" si="35"/>
        <v>1011.8787712162007</v>
      </c>
      <c r="Y104" s="22">
        <f>(1/(2*LOG(3.7*$I104/'Calculation Constants'!$B$3*1000)))^2</f>
        <v>9.8211436332891755E-3</v>
      </c>
      <c r="Z104" s="19">
        <f t="shared" si="36"/>
        <v>1.431963236834217</v>
      </c>
      <c r="AA104" s="19">
        <f>IF($H104&gt;0,'Calculation Constants'!$B$9*Hydraulics!$K104^2/2/9.81/MAX($F$4:$F$263)*$H104,"")</f>
        <v>7.5705987075825154E-2</v>
      </c>
      <c r="AB104" s="19">
        <f t="shared" si="55"/>
        <v>1.5076692239100422</v>
      </c>
      <c r="AC104" s="19">
        <f t="shared" si="37"/>
        <v>0</v>
      </c>
      <c r="AD104" s="19">
        <f t="shared" si="48"/>
        <v>78.400348390609224</v>
      </c>
      <c r="AE104" s="23">
        <f t="shared" si="38"/>
        <v>1000.3693483906093</v>
      </c>
      <c r="AF104" s="27">
        <f>(1/(2*LOG(3.7*$I104/'Calculation Constants'!$B$4*1000)))^2</f>
        <v>1.1575055557914658E-2</v>
      </c>
      <c r="AG104" s="19">
        <f t="shared" si="39"/>
        <v>1.6876908272744866</v>
      </c>
      <c r="AH104" s="19">
        <f>IF($H104&gt;0,'Calculation Constants'!$B$9*Hydraulics!$K104^2/2/9.81/MAX($F$4:$F$263)*$H104,"")</f>
        <v>7.5705987075825154E-2</v>
      </c>
      <c r="AI104" s="19">
        <f t="shared" si="49"/>
        <v>1.7633968143503118</v>
      </c>
      <c r="AJ104" s="19">
        <f t="shared" si="40"/>
        <v>0</v>
      </c>
      <c r="AK104" s="19">
        <f t="shared" si="50"/>
        <v>59.632100216981257</v>
      </c>
      <c r="AL104" s="23">
        <f t="shared" si="41"/>
        <v>981.60110021698131</v>
      </c>
      <c r="AM104" s="22">
        <f>(1/(2*LOG(3.7*($I104-0.008)/'Calculation Constants'!$B$5*1000)))^2</f>
        <v>1.4709705891825043E-2</v>
      </c>
      <c r="AN104" s="19">
        <f t="shared" si="51"/>
        <v>2.1543104841910781</v>
      </c>
      <c r="AO104" s="19">
        <f>IF($H104&gt;0,'Calculation Constants'!$B$9*Hydraulics!$K104^2/2/9.81/MAX($F$4:$F$263)*$H104,"")</f>
        <v>7.5705987075825154E-2</v>
      </c>
      <c r="AP104" s="19">
        <f t="shared" si="52"/>
        <v>2.2300164712669033</v>
      </c>
      <c r="AQ104" s="19">
        <f t="shared" si="42"/>
        <v>0</v>
      </c>
      <c r="AR104" s="19">
        <f t="shared" si="53"/>
        <v>25.451587483947492</v>
      </c>
      <c r="AS104" s="23">
        <f t="shared" si="43"/>
        <v>947.42058748394754</v>
      </c>
    </row>
    <row r="105" spans="5:45">
      <c r="E105" s="35" t="str">
        <f t="shared" si="29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4"/>
        <v>2</v>
      </c>
      <c r="I105" s="19">
        <v>1.8</v>
      </c>
      <c r="J105" s="36">
        <f>'Flow Rate Calculations'!$B$7</f>
        <v>4.0831050228310497</v>
      </c>
      <c r="K105" s="36">
        <f t="shared" si="44"/>
        <v>1.6045588828318709</v>
      </c>
      <c r="L105" s="37">
        <f>$I105*$K105/'Calculation Constants'!$B$7</f>
        <v>2555934.503625989</v>
      </c>
      <c r="M105" s="37">
        <f t="shared" si="30"/>
        <v>191.00900000000013</v>
      </c>
      <c r="N105" s="23">
        <f t="shared" si="45"/>
        <v>89.866817502139952</v>
      </c>
      <c r="O105" s="57">
        <f t="shared" si="31"/>
        <v>191.00900000000013</v>
      </c>
      <c r="P105" s="66">
        <f>MAX(I105*1000/'Calculation Constants'!$B$14,O105*10*I105*1000/2/('Calculation Constants'!$B$12*1000*'Calculation Constants'!$B$13))</f>
        <v>11.460540000000007</v>
      </c>
      <c r="Q105" s="68">
        <f t="shared" si="32"/>
        <v>1011004.6025207246</v>
      </c>
      <c r="R105" s="27">
        <f>(1/(2*LOG(3.7*$I105/'Calculation Constants'!$B$2*1000)))^2</f>
        <v>8.7463077071963571E-3</v>
      </c>
      <c r="S105" s="19">
        <f t="shared" si="46"/>
        <v>1.2752477269849725</v>
      </c>
      <c r="T105" s="19">
        <f>IF($H105&gt;0,'Calculation Constants'!$B$9*Hydraulics!$K105^2/2/9.81/MAX($F$4:$F$263)*$H105,"")</f>
        <v>7.5705987075825154E-2</v>
      </c>
      <c r="U105" s="19">
        <f t="shared" si="47"/>
        <v>1.3509537140607977</v>
      </c>
      <c r="V105" s="19">
        <f t="shared" si="33"/>
        <v>0</v>
      </c>
      <c r="W105" s="19">
        <f t="shared" si="34"/>
        <v>89.866817502139952</v>
      </c>
      <c r="X105" s="23">
        <f t="shared" si="35"/>
        <v>1010.5278175021399</v>
      </c>
      <c r="Y105" s="22">
        <f>(1/(2*LOG(3.7*$I105/'Calculation Constants'!$B$3*1000)))^2</f>
        <v>9.8211436332891755E-3</v>
      </c>
      <c r="Z105" s="19">
        <f t="shared" si="36"/>
        <v>1.431963236834217</v>
      </c>
      <c r="AA105" s="19">
        <f>IF($H105&gt;0,'Calculation Constants'!$B$9*Hydraulics!$K105^2/2/9.81/MAX($F$4:$F$263)*$H105,"")</f>
        <v>7.5705987075825154E-2</v>
      </c>
      <c r="AB105" s="19">
        <f t="shared" si="55"/>
        <v>1.5076692239100422</v>
      </c>
      <c r="AC105" s="19">
        <f t="shared" si="37"/>
        <v>0</v>
      </c>
      <c r="AD105" s="19">
        <f t="shared" si="48"/>
        <v>78.200679166699274</v>
      </c>
      <c r="AE105" s="23">
        <f t="shared" si="38"/>
        <v>998.86167916669922</v>
      </c>
      <c r="AF105" s="27">
        <f>(1/(2*LOG(3.7*$I105/'Calculation Constants'!$B$4*1000)))^2</f>
        <v>1.1575055557914658E-2</v>
      </c>
      <c r="AG105" s="19">
        <f t="shared" si="39"/>
        <v>1.6876908272744866</v>
      </c>
      <c r="AH105" s="19">
        <f>IF($H105&gt;0,'Calculation Constants'!$B$9*Hydraulics!$K105^2/2/9.81/MAX($F$4:$F$263)*$H105,"")</f>
        <v>7.5705987075825154E-2</v>
      </c>
      <c r="AI105" s="19">
        <f t="shared" si="49"/>
        <v>1.7633968143503118</v>
      </c>
      <c r="AJ105" s="19">
        <f t="shared" si="40"/>
        <v>0</v>
      </c>
      <c r="AK105" s="19">
        <f t="shared" si="50"/>
        <v>59.176703402631006</v>
      </c>
      <c r="AL105" s="23">
        <f t="shared" si="41"/>
        <v>979.83770340263095</v>
      </c>
      <c r="AM105" s="22">
        <f>(1/(2*LOG(3.7*($I105-0.008)/'Calculation Constants'!$B$5*1000)))^2</f>
        <v>1.4709705891825043E-2</v>
      </c>
      <c r="AN105" s="19">
        <f t="shared" si="51"/>
        <v>2.1543104841910781</v>
      </c>
      <c r="AO105" s="19">
        <f>IF($H105&gt;0,'Calculation Constants'!$B$9*Hydraulics!$K105^2/2/9.81/MAX($F$4:$F$263)*$H105,"")</f>
        <v>7.5705987075825154E-2</v>
      </c>
      <c r="AP105" s="19">
        <f t="shared" si="52"/>
        <v>2.2300164712669033</v>
      </c>
      <c r="AQ105" s="19">
        <f t="shared" si="42"/>
        <v>0</v>
      </c>
      <c r="AR105" s="19">
        <f t="shared" si="53"/>
        <v>24.529571012680663</v>
      </c>
      <c r="AS105" s="23">
        <f t="shared" si="43"/>
        <v>945.19057101268061</v>
      </c>
    </row>
    <row r="106" spans="5:45">
      <c r="E106" s="35" t="str">
        <f t="shared" si="29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4"/>
        <v>2</v>
      </c>
      <c r="I106" s="19">
        <v>1.8</v>
      </c>
      <c r="J106" s="36">
        <f>'Flow Rate Calculations'!$B$7</f>
        <v>4.0831050228310497</v>
      </c>
      <c r="K106" s="36">
        <f t="shared" si="44"/>
        <v>1.6045588828318709</v>
      </c>
      <c r="L106" s="37">
        <f>$I106*$K106/'Calculation Constants'!$B$7</f>
        <v>2555934.503625989</v>
      </c>
      <c r="M106" s="37">
        <f t="shared" si="30"/>
        <v>191.42700000000002</v>
      </c>
      <c r="N106" s="23">
        <f t="shared" si="45"/>
        <v>88.933863788079066</v>
      </c>
      <c r="O106" s="57">
        <f t="shared" si="31"/>
        <v>191.42700000000002</v>
      </c>
      <c r="P106" s="66">
        <f>MAX(I106*1000/'Calculation Constants'!$B$14,O106*10*I106*1000/2/('Calculation Constants'!$B$12*1000*'Calculation Constants'!$B$13))</f>
        <v>11.485620000000001</v>
      </c>
      <c r="Q106" s="68">
        <f t="shared" si="32"/>
        <v>1013202.8553623573</v>
      </c>
      <c r="R106" s="27">
        <f>(1/(2*LOG(3.7*$I106/'Calculation Constants'!$B$2*1000)))^2</f>
        <v>8.7463077071963571E-3</v>
      </c>
      <c r="S106" s="19">
        <f t="shared" si="46"/>
        <v>1.2752477269849725</v>
      </c>
      <c r="T106" s="19">
        <f>IF($H106&gt;0,'Calculation Constants'!$B$9*Hydraulics!$K106^2/2/9.81/MAX($F$4:$F$263)*$H106,"")</f>
        <v>7.5705987075825154E-2</v>
      </c>
      <c r="U106" s="19">
        <f t="shared" si="47"/>
        <v>1.3509537140607977</v>
      </c>
      <c r="V106" s="19">
        <f t="shared" si="33"/>
        <v>0</v>
      </c>
      <c r="W106" s="19">
        <f t="shared" si="34"/>
        <v>88.933863788079066</v>
      </c>
      <c r="X106" s="23">
        <f t="shared" si="35"/>
        <v>1009.1768637880791</v>
      </c>
      <c r="Y106" s="22">
        <f>(1/(2*LOG(3.7*$I106/'Calculation Constants'!$B$3*1000)))^2</f>
        <v>9.8211436332891755E-3</v>
      </c>
      <c r="Z106" s="19">
        <f t="shared" si="36"/>
        <v>1.431963236834217</v>
      </c>
      <c r="AA106" s="19">
        <f>IF($H106&gt;0,'Calculation Constants'!$B$9*Hydraulics!$K106^2/2/9.81/MAX($F$4:$F$263)*$H106,"")</f>
        <v>7.5705987075825154E-2</v>
      </c>
      <c r="AB106" s="19">
        <f t="shared" si="55"/>
        <v>1.5076692239100422</v>
      </c>
      <c r="AC106" s="19">
        <f t="shared" si="37"/>
        <v>0</v>
      </c>
      <c r="AD106" s="19">
        <f t="shared" si="48"/>
        <v>77.11100994278911</v>
      </c>
      <c r="AE106" s="23">
        <f t="shared" si="38"/>
        <v>997.35400994278916</v>
      </c>
      <c r="AF106" s="27">
        <f>(1/(2*LOG(3.7*$I106/'Calculation Constants'!$B$4*1000)))^2</f>
        <v>1.1575055557914658E-2</v>
      </c>
      <c r="AG106" s="19">
        <f t="shared" si="39"/>
        <v>1.6876908272744866</v>
      </c>
      <c r="AH106" s="19">
        <f>IF($H106&gt;0,'Calculation Constants'!$B$9*Hydraulics!$K106^2/2/9.81/MAX($F$4:$F$263)*$H106,"")</f>
        <v>7.5705987075825154E-2</v>
      </c>
      <c r="AI106" s="19">
        <f t="shared" si="49"/>
        <v>1.7633968143503118</v>
      </c>
      <c r="AJ106" s="19">
        <f t="shared" si="40"/>
        <v>0</v>
      </c>
      <c r="AK106" s="19">
        <f t="shared" si="50"/>
        <v>57.83130658828054</v>
      </c>
      <c r="AL106" s="23">
        <f t="shared" si="41"/>
        <v>978.07430658828059</v>
      </c>
      <c r="AM106" s="22">
        <f>(1/(2*LOG(3.7*($I106-0.008)/'Calculation Constants'!$B$5*1000)))^2</f>
        <v>1.4709705891825043E-2</v>
      </c>
      <c r="AN106" s="19">
        <f t="shared" si="51"/>
        <v>2.1543104841910781</v>
      </c>
      <c r="AO106" s="19">
        <f>IF($H106&gt;0,'Calculation Constants'!$B$9*Hydraulics!$K106^2/2/9.81/MAX($F$4:$F$263)*$H106,"")</f>
        <v>7.5705987075825154E-2</v>
      </c>
      <c r="AP106" s="19">
        <f t="shared" si="52"/>
        <v>2.2300164712669033</v>
      </c>
      <c r="AQ106" s="19">
        <f t="shared" si="42"/>
        <v>0</v>
      </c>
      <c r="AR106" s="19">
        <f t="shared" si="53"/>
        <v>22.71755454141362</v>
      </c>
      <c r="AS106" s="23">
        <f t="shared" si="43"/>
        <v>942.96055454141367</v>
      </c>
    </row>
    <row r="107" spans="5:45">
      <c r="E107" s="35" t="str">
        <f t="shared" si="29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4"/>
        <v>2</v>
      </c>
      <c r="I107" s="19">
        <v>1.8</v>
      </c>
      <c r="J107" s="36">
        <f>'Flow Rate Calculations'!$B$7</f>
        <v>4.0831050228310497</v>
      </c>
      <c r="K107" s="36">
        <f t="shared" si="44"/>
        <v>1.6045588828318709</v>
      </c>
      <c r="L107" s="37">
        <f>$I107*$K107/'Calculation Constants'!$B$7</f>
        <v>2555934.503625989</v>
      </c>
      <c r="M107" s="37">
        <f t="shared" si="30"/>
        <v>192.37300000000005</v>
      </c>
      <c r="N107" s="23">
        <f t="shared" si="45"/>
        <v>88.528910074018313</v>
      </c>
      <c r="O107" s="57">
        <f t="shared" si="31"/>
        <v>192.37300000000005</v>
      </c>
      <c r="P107" s="66">
        <f>MAX(I107*1000/'Calculation Constants'!$B$14,O107*10*I107*1000/2/('Calculation Constants'!$B$12*1000*'Calculation Constants'!$B$13))</f>
        <v>11.542380000000003</v>
      </c>
      <c r="Q107" s="68">
        <f t="shared" si="32"/>
        <v>1018177.6195184148</v>
      </c>
      <c r="R107" s="27">
        <f>(1/(2*LOG(3.7*$I107/'Calculation Constants'!$B$2*1000)))^2</f>
        <v>8.7463077071963571E-3</v>
      </c>
      <c r="S107" s="19">
        <f t="shared" si="46"/>
        <v>1.2752477269849725</v>
      </c>
      <c r="T107" s="19">
        <f>IF($H107&gt;0,'Calculation Constants'!$B$9*Hydraulics!$K107^2/2/9.81/MAX($F$4:$F$263)*$H107,"")</f>
        <v>7.5705987075825154E-2</v>
      </c>
      <c r="U107" s="19">
        <f t="shared" si="47"/>
        <v>1.3509537140607977</v>
      </c>
      <c r="V107" s="19">
        <f t="shared" si="33"/>
        <v>0</v>
      </c>
      <c r="W107" s="19">
        <f t="shared" si="34"/>
        <v>88.528910074018313</v>
      </c>
      <c r="X107" s="23">
        <f t="shared" si="35"/>
        <v>1007.8259100740183</v>
      </c>
      <c r="Y107" s="22">
        <f>(1/(2*LOG(3.7*$I107/'Calculation Constants'!$B$3*1000)))^2</f>
        <v>9.8211436332891755E-3</v>
      </c>
      <c r="Z107" s="19">
        <f t="shared" si="36"/>
        <v>1.431963236834217</v>
      </c>
      <c r="AA107" s="19">
        <f>IF($H107&gt;0,'Calculation Constants'!$B$9*Hydraulics!$K107^2/2/9.81/MAX($F$4:$F$263)*$H107,"")</f>
        <v>7.5705987075825154E-2</v>
      </c>
      <c r="AB107" s="19">
        <f t="shared" si="55"/>
        <v>1.5076692239100422</v>
      </c>
      <c r="AC107" s="19">
        <f t="shared" si="37"/>
        <v>0</v>
      </c>
      <c r="AD107" s="19">
        <f t="shared" si="48"/>
        <v>76.54934071887908</v>
      </c>
      <c r="AE107" s="23">
        <f t="shared" si="38"/>
        <v>995.84634071887911</v>
      </c>
      <c r="AF107" s="27">
        <f>(1/(2*LOG(3.7*$I107/'Calculation Constants'!$B$4*1000)))^2</f>
        <v>1.1575055557914658E-2</v>
      </c>
      <c r="AG107" s="19">
        <f t="shared" si="39"/>
        <v>1.6876908272744866</v>
      </c>
      <c r="AH107" s="19">
        <f>IF($H107&gt;0,'Calculation Constants'!$B$9*Hydraulics!$K107^2/2/9.81/MAX($F$4:$F$263)*$H107,"")</f>
        <v>7.5705987075825154E-2</v>
      </c>
      <c r="AI107" s="19">
        <f t="shared" si="49"/>
        <v>1.7633968143503118</v>
      </c>
      <c r="AJ107" s="19">
        <f t="shared" si="40"/>
        <v>0</v>
      </c>
      <c r="AK107" s="19">
        <f t="shared" si="50"/>
        <v>57.013909773930209</v>
      </c>
      <c r="AL107" s="23">
        <f t="shared" si="41"/>
        <v>976.31090977393023</v>
      </c>
      <c r="AM107" s="22">
        <f>(1/(2*LOG(3.7*($I107-0.008)/'Calculation Constants'!$B$5*1000)))^2</f>
        <v>1.4709705891825043E-2</v>
      </c>
      <c r="AN107" s="19">
        <f t="shared" si="51"/>
        <v>2.1543104841910781</v>
      </c>
      <c r="AO107" s="19">
        <f>IF($H107&gt;0,'Calculation Constants'!$B$9*Hydraulics!$K107^2/2/9.81/MAX($F$4:$F$263)*$H107,"")</f>
        <v>7.5705987075825154E-2</v>
      </c>
      <c r="AP107" s="19">
        <f t="shared" si="52"/>
        <v>2.2300164712669033</v>
      </c>
      <c r="AQ107" s="19">
        <f t="shared" si="42"/>
        <v>0</v>
      </c>
      <c r="AR107" s="19">
        <f t="shared" si="53"/>
        <v>21.43353807014671</v>
      </c>
      <c r="AS107" s="23">
        <f t="shared" si="43"/>
        <v>940.73053807014674</v>
      </c>
    </row>
    <row r="108" spans="5:45">
      <c r="E108" s="35" t="str">
        <f t="shared" si="29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4"/>
        <v>2</v>
      </c>
      <c r="I108" s="19">
        <v>1.8</v>
      </c>
      <c r="J108" s="36">
        <f>'Flow Rate Calculations'!$B$7</f>
        <v>4.0831050228310497</v>
      </c>
      <c r="K108" s="36">
        <f t="shared" si="44"/>
        <v>1.6045588828318709</v>
      </c>
      <c r="L108" s="37">
        <f>$I108*$K108/'Calculation Constants'!$B$7</f>
        <v>2555934.503625989</v>
      </c>
      <c r="M108" s="37">
        <f t="shared" si="30"/>
        <v>194.13700000000006</v>
      </c>
      <c r="N108" s="23">
        <f t="shared" si="45"/>
        <v>88.941956359957544</v>
      </c>
      <c r="O108" s="57">
        <f t="shared" si="31"/>
        <v>194.13700000000006</v>
      </c>
      <c r="P108" s="66">
        <f>MAX(I108*1000/'Calculation Constants'!$B$14,O108*10*I108*1000/2/('Calculation Constants'!$B$12*1000*'Calculation Constants'!$B$13))</f>
        <v>11.648220000000004</v>
      </c>
      <c r="Q108" s="68">
        <f t="shared" si="32"/>
        <v>1027453.18080765</v>
      </c>
      <c r="R108" s="27">
        <f>(1/(2*LOG(3.7*$I108/'Calculation Constants'!$B$2*1000)))^2</f>
        <v>8.7463077071963571E-3</v>
      </c>
      <c r="S108" s="19">
        <f t="shared" si="46"/>
        <v>1.2752477269849725</v>
      </c>
      <c r="T108" s="19">
        <f>IF($H108&gt;0,'Calculation Constants'!$B$9*Hydraulics!$K108^2/2/9.81/MAX($F$4:$F$263)*$H108,"")</f>
        <v>7.5705987075825154E-2</v>
      </c>
      <c r="U108" s="19">
        <f t="shared" si="47"/>
        <v>1.3509537140607977</v>
      </c>
      <c r="V108" s="19">
        <f t="shared" si="33"/>
        <v>0</v>
      </c>
      <c r="W108" s="19">
        <f t="shared" si="34"/>
        <v>88.941956359957544</v>
      </c>
      <c r="X108" s="23">
        <f t="shared" si="35"/>
        <v>1006.4749563599576</v>
      </c>
      <c r="Y108" s="22">
        <f>(1/(2*LOG(3.7*$I108/'Calculation Constants'!$B$3*1000)))^2</f>
        <v>9.8211436332891755E-3</v>
      </c>
      <c r="Z108" s="19">
        <f t="shared" si="36"/>
        <v>1.431963236834217</v>
      </c>
      <c r="AA108" s="19">
        <f>IF($H108&gt;0,'Calculation Constants'!$B$9*Hydraulics!$K108^2/2/9.81/MAX($F$4:$F$263)*$H108,"")</f>
        <v>7.5705987075825154E-2</v>
      </c>
      <c r="AB108" s="19">
        <f t="shared" si="55"/>
        <v>1.5076692239100422</v>
      </c>
      <c r="AC108" s="19">
        <f t="shared" si="37"/>
        <v>0</v>
      </c>
      <c r="AD108" s="19">
        <f t="shared" si="48"/>
        <v>76.805671494969033</v>
      </c>
      <c r="AE108" s="23">
        <f t="shared" si="38"/>
        <v>994.33867149496905</v>
      </c>
      <c r="AF108" s="27">
        <f>(1/(2*LOG(3.7*$I108/'Calculation Constants'!$B$4*1000)))^2</f>
        <v>1.1575055557914658E-2</v>
      </c>
      <c r="AG108" s="19">
        <f t="shared" si="39"/>
        <v>1.6876908272744866</v>
      </c>
      <c r="AH108" s="19">
        <f>IF($H108&gt;0,'Calculation Constants'!$B$9*Hydraulics!$K108^2/2/9.81/MAX($F$4:$F$263)*$H108,"")</f>
        <v>7.5705987075825154E-2</v>
      </c>
      <c r="AI108" s="19">
        <f t="shared" si="49"/>
        <v>1.7633968143503118</v>
      </c>
      <c r="AJ108" s="19">
        <f t="shared" si="40"/>
        <v>0</v>
      </c>
      <c r="AK108" s="19">
        <f t="shared" si="50"/>
        <v>57.014512959579861</v>
      </c>
      <c r="AL108" s="23">
        <f t="shared" si="41"/>
        <v>974.54751295957988</v>
      </c>
      <c r="AM108" s="22">
        <f>(1/(2*LOG(3.7*($I108-0.008)/'Calculation Constants'!$B$5*1000)))^2</f>
        <v>1.4709705891825043E-2</v>
      </c>
      <c r="AN108" s="19">
        <f t="shared" si="51"/>
        <v>2.1543104841910781</v>
      </c>
      <c r="AO108" s="19">
        <f>IF($H108&gt;0,'Calculation Constants'!$B$9*Hydraulics!$K108^2/2/9.81/MAX($F$4:$F$263)*$H108,"")</f>
        <v>7.5705987075825154E-2</v>
      </c>
      <c r="AP108" s="19">
        <f t="shared" si="52"/>
        <v>2.2300164712669033</v>
      </c>
      <c r="AQ108" s="19">
        <f t="shared" si="42"/>
        <v>0</v>
      </c>
      <c r="AR108" s="19">
        <f t="shared" si="53"/>
        <v>20.967521598879785</v>
      </c>
      <c r="AS108" s="23">
        <f t="shared" si="43"/>
        <v>938.5005215988798</v>
      </c>
    </row>
    <row r="109" spans="5:45">
      <c r="E109" s="35" t="str">
        <f t="shared" si="29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4"/>
        <v>2</v>
      </c>
      <c r="I109" s="19">
        <v>1.8</v>
      </c>
      <c r="J109" s="36">
        <f>'Flow Rate Calculations'!$B$7</f>
        <v>4.0831050228310497</v>
      </c>
      <c r="K109" s="36">
        <f t="shared" si="44"/>
        <v>1.6045588828318709</v>
      </c>
      <c r="L109" s="37">
        <f>$I109*$K109/'Calculation Constants'!$B$7</f>
        <v>2555934.503625989</v>
      </c>
      <c r="M109" s="37">
        <f t="shared" si="30"/>
        <v>193.9860000000001</v>
      </c>
      <c r="N109" s="23">
        <f t="shared" si="45"/>
        <v>87.440002645896811</v>
      </c>
      <c r="O109" s="57">
        <f t="shared" si="31"/>
        <v>193.9860000000001</v>
      </c>
      <c r="P109" s="66">
        <f>MAX(I109*1000/'Calculation Constants'!$B$14,O109*10*I109*1000/2/('Calculation Constants'!$B$12*1000*'Calculation Constants'!$B$13))</f>
        <v>11.639160000000006</v>
      </c>
      <c r="Q109" s="68">
        <f t="shared" si="32"/>
        <v>1026659.2275958136</v>
      </c>
      <c r="R109" s="27">
        <f>(1/(2*LOG(3.7*$I109/'Calculation Constants'!$B$2*1000)))^2</f>
        <v>8.7463077071963571E-3</v>
      </c>
      <c r="S109" s="19">
        <f t="shared" si="46"/>
        <v>1.2752477269849725</v>
      </c>
      <c r="T109" s="19">
        <f>IF($H109&gt;0,'Calculation Constants'!$B$9*Hydraulics!$K109^2/2/9.81/MAX($F$4:$F$263)*$H109,"")</f>
        <v>7.5705987075825154E-2</v>
      </c>
      <c r="U109" s="19">
        <f t="shared" si="47"/>
        <v>1.3509537140607977</v>
      </c>
      <c r="V109" s="19">
        <f t="shared" si="33"/>
        <v>0</v>
      </c>
      <c r="W109" s="19">
        <f t="shared" si="34"/>
        <v>87.440002645896811</v>
      </c>
      <c r="X109" s="23">
        <f t="shared" si="35"/>
        <v>1005.1240026458968</v>
      </c>
      <c r="Y109" s="22">
        <f>(1/(2*LOG(3.7*$I109/'Calculation Constants'!$B$3*1000)))^2</f>
        <v>9.8211436332891755E-3</v>
      </c>
      <c r="Z109" s="19">
        <f t="shared" si="36"/>
        <v>1.431963236834217</v>
      </c>
      <c r="AA109" s="19">
        <f>IF($H109&gt;0,'Calculation Constants'!$B$9*Hydraulics!$K109^2/2/9.81/MAX($F$4:$F$263)*$H109,"")</f>
        <v>7.5705987075825154E-2</v>
      </c>
      <c r="AB109" s="19">
        <f t="shared" si="55"/>
        <v>1.5076692239100422</v>
      </c>
      <c r="AC109" s="19">
        <f t="shared" si="37"/>
        <v>0</v>
      </c>
      <c r="AD109" s="19">
        <f t="shared" si="48"/>
        <v>75.147002271059023</v>
      </c>
      <c r="AE109" s="23">
        <f t="shared" si="38"/>
        <v>992.83100227105899</v>
      </c>
      <c r="AF109" s="27">
        <f>(1/(2*LOG(3.7*$I109/'Calculation Constants'!$B$4*1000)))^2</f>
        <v>1.1575055557914658E-2</v>
      </c>
      <c r="AG109" s="19">
        <f t="shared" si="39"/>
        <v>1.6876908272744866</v>
      </c>
      <c r="AH109" s="19">
        <f>IF($H109&gt;0,'Calculation Constants'!$B$9*Hydraulics!$K109^2/2/9.81/MAX($F$4:$F$263)*$H109,"")</f>
        <v>7.5705987075825154E-2</v>
      </c>
      <c r="AI109" s="19">
        <f t="shared" si="49"/>
        <v>1.7633968143503118</v>
      </c>
      <c r="AJ109" s="19">
        <f t="shared" si="40"/>
        <v>0</v>
      </c>
      <c r="AK109" s="19">
        <f t="shared" si="50"/>
        <v>55.100116145229549</v>
      </c>
      <c r="AL109" s="23">
        <f t="shared" si="41"/>
        <v>972.78411614522952</v>
      </c>
      <c r="AM109" s="22">
        <f>(1/(2*LOG(3.7*($I109-0.008)/'Calculation Constants'!$B$5*1000)))^2</f>
        <v>1.4709705891825043E-2</v>
      </c>
      <c r="AN109" s="19">
        <f t="shared" si="51"/>
        <v>2.1543104841910781</v>
      </c>
      <c r="AO109" s="19">
        <f>IF($H109&gt;0,'Calculation Constants'!$B$9*Hydraulics!$K109^2/2/9.81/MAX($F$4:$F$263)*$H109,"")</f>
        <v>7.5705987075825154E-2</v>
      </c>
      <c r="AP109" s="19">
        <f t="shared" si="52"/>
        <v>2.2300164712669033</v>
      </c>
      <c r="AQ109" s="19">
        <f t="shared" si="42"/>
        <v>0</v>
      </c>
      <c r="AR109" s="19">
        <f t="shared" si="53"/>
        <v>18.586505127612895</v>
      </c>
      <c r="AS109" s="23">
        <f t="shared" si="43"/>
        <v>936.27050512761286</v>
      </c>
    </row>
    <row r="110" spans="5:45">
      <c r="E110" s="35" t="str">
        <f t="shared" si="29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4"/>
        <v>2</v>
      </c>
      <c r="I110" s="19">
        <v>1.8</v>
      </c>
      <c r="J110" s="36">
        <f>'Flow Rate Calculations'!$B$7</f>
        <v>4.0831050228310497</v>
      </c>
      <c r="K110" s="36">
        <f t="shared" si="44"/>
        <v>1.6045588828318709</v>
      </c>
      <c r="L110" s="37">
        <f>$I110*$K110/'Calculation Constants'!$B$7</f>
        <v>2555934.503625989</v>
      </c>
      <c r="M110" s="37">
        <f t="shared" si="30"/>
        <v>195.94600000000003</v>
      </c>
      <c r="N110" s="23">
        <f t="shared" si="45"/>
        <v>88.049048931835955</v>
      </c>
      <c r="O110" s="57">
        <f t="shared" si="31"/>
        <v>195.94600000000003</v>
      </c>
      <c r="P110" s="66">
        <f>MAX(I110*1000/'Calculation Constants'!$B$14,O110*10*I110*1000/2/('Calculation Constants'!$B$12*1000*'Calculation Constants'!$B$13))</f>
        <v>11.756760000000003</v>
      </c>
      <c r="Q110" s="68">
        <f t="shared" si="32"/>
        <v>1036964.2158709641</v>
      </c>
      <c r="R110" s="27">
        <f>(1/(2*LOG(3.7*$I110/'Calculation Constants'!$B$2*1000)))^2</f>
        <v>8.7463077071963571E-3</v>
      </c>
      <c r="S110" s="19">
        <f t="shared" si="46"/>
        <v>1.2752477269849725</v>
      </c>
      <c r="T110" s="19">
        <f>IF($H110&gt;0,'Calculation Constants'!$B$9*Hydraulics!$K110^2/2/9.81/MAX($F$4:$F$263)*$H110,"")</f>
        <v>7.5705987075825154E-2</v>
      </c>
      <c r="U110" s="19">
        <f t="shared" si="47"/>
        <v>1.3509537140607977</v>
      </c>
      <c r="V110" s="19">
        <f t="shared" si="33"/>
        <v>0</v>
      </c>
      <c r="W110" s="19">
        <f t="shared" si="34"/>
        <v>88.049048931835955</v>
      </c>
      <c r="X110" s="23">
        <f t="shared" si="35"/>
        <v>1003.773048931836</v>
      </c>
      <c r="Y110" s="22">
        <f>(1/(2*LOG(3.7*$I110/'Calculation Constants'!$B$3*1000)))^2</f>
        <v>9.8211436332891755E-3</v>
      </c>
      <c r="Z110" s="19">
        <f t="shared" si="36"/>
        <v>1.431963236834217</v>
      </c>
      <c r="AA110" s="19">
        <f>IF($H110&gt;0,'Calculation Constants'!$B$9*Hydraulics!$K110^2/2/9.81/MAX($F$4:$F$263)*$H110,"")</f>
        <v>7.5705987075825154E-2</v>
      </c>
      <c r="AB110" s="19">
        <f t="shared" si="55"/>
        <v>1.5076692239100422</v>
      </c>
      <c r="AC110" s="19">
        <f t="shared" si="37"/>
        <v>0</v>
      </c>
      <c r="AD110" s="19">
        <f t="shared" si="48"/>
        <v>75.599333047148889</v>
      </c>
      <c r="AE110" s="23">
        <f t="shared" si="38"/>
        <v>991.32333304714894</v>
      </c>
      <c r="AF110" s="27">
        <f>(1/(2*LOG(3.7*$I110/'Calculation Constants'!$B$4*1000)))^2</f>
        <v>1.1575055557914658E-2</v>
      </c>
      <c r="AG110" s="19">
        <f t="shared" si="39"/>
        <v>1.6876908272744866</v>
      </c>
      <c r="AH110" s="19">
        <f>IF($H110&gt;0,'Calculation Constants'!$B$9*Hydraulics!$K110^2/2/9.81/MAX($F$4:$F$263)*$H110,"")</f>
        <v>7.5705987075825154E-2</v>
      </c>
      <c r="AI110" s="19">
        <f t="shared" si="49"/>
        <v>1.7633968143503118</v>
      </c>
      <c r="AJ110" s="19">
        <f t="shared" si="40"/>
        <v>0</v>
      </c>
      <c r="AK110" s="19">
        <f t="shared" si="50"/>
        <v>55.296719330879114</v>
      </c>
      <c r="AL110" s="23">
        <f t="shared" si="41"/>
        <v>971.02071933087916</v>
      </c>
      <c r="AM110" s="22">
        <f>(1/(2*LOG(3.7*($I110-0.008)/'Calculation Constants'!$B$5*1000)))^2</f>
        <v>1.4709705891825043E-2</v>
      </c>
      <c r="AN110" s="19">
        <f t="shared" si="51"/>
        <v>2.1543104841910781</v>
      </c>
      <c r="AO110" s="19">
        <f>IF($H110&gt;0,'Calculation Constants'!$B$9*Hydraulics!$K110^2/2/9.81/MAX($F$4:$F$263)*$H110,"")</f>
        <v>7.5705987075825154E-2</v>
      </c>
      <c r="AP110" s="19">
        <f t="shared" si="52"/>
        <v>2.2300164712669033</v>
      </c>
      <c r="AQ110" s="19">
        <f t="shared" si="42"/>
        <v>0</v>
      </c>
      <c r="AR110" s="19">
        <f t="shared" si="53"/>
        <v>18.316488656345882</v>
      </c>
      <c r="AS110" s="23">
        <f t="shared" si="43"/>
        <v>934.04048865634593</v>
      </c>
    </row>
    <row r="111" spans="5:45">
      <c r="E111" s="35" t="str">
        <f t="shared" si="29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4"/>
        <v>2</v>
      </c>
      <c r="I111" s="19">
        <v>1.8</v>
      </c>
      <c r="J111" s="36">
        <f>'Flow Rate Calculations'!$B$7</f>
        <v>4.0831050228310497</v>
      </c>
      <c r="K111" s="36">
        <f t="shared" si="44"/>
        <v>1.6045588828318709</v>
      </c>
      <c r="L111" s="37">
        <f>$I111*$K111/'Calculation Constants'!$B$7</f>
        <v>2555934.503625989</v>
      </c>
      <c r="M111" s="37">
        <f t="shared" si="30"/>
        <v>195.94000000000005</v>
      </c>
      <c r="N111" s="23">
        <f t="shared" si="45"/>
        <v>86.692095217775204</v>
      </c>
      <c r="O111" s="57">
        <f t="shared" si="31"/>
        <v>195.94000000000005</v>
      </c>
      <c r="P111" s="66">
        <f>MAX(I111*1000/'Calculation Constants'!$B$14,O111*10*I111*1000/2/('Calculation Constants'!$B$12*1000*'Calculation Constants'!$B$13))</f>
        <v>11.756400000000003</v>
      </c>
      <c r="Q111" s="68">
        <f t="shared" si="32"/>
        <v>1036932.672070229</v>
      </c>
      <c r="R111" s="27">
        <f>(1/(2*LOG(3.7*$I111/'Calculation Constants'!$B$2*1000)))^2</f>
        <v>8.7463077071963571E-3</v>
      </c>
      <c r="S111" s="19">
        <f t="shared" si="46"/>
        <v>1.2752477269849725</v>
      </c>
      <c r="T111" s="19">
        <f>IF($H111&gt;0,'Calculation Constants'!$B$9*Hydraulics!$K111^2/2/9.81/MAX($F$4:$F$263)*$H111,"")</f>
        <v>7.5705987075825154E-2</v>
      </c>
      <c r="U111" s="19">
        <f t="shared" si="47"/>
        <v>1.3509537140607977</v>
      </c>
      <c r="V111" s="19">
        <f t="shared" si="33"/>
        <v>0</v>
      </c>
      <c r="W111" s="19">
        <f t="shared" si="34"/>
        <v>86.692095217775204</v>
      </c>
      <c r="X111" s="23">
        <f t="shared" si="35"/>
        <v>1002.4220952177752</v>
      </c>
      <c r="Y111" s="22">
        <f>(1/(2*LOG(3.7*$I111/'Calculation Constants'!$B$3*1000)))^2</f>
        <v>9.8211436332891755E-3</v>
      </c>
      <c r="Z111" s="19">
        <f t="shared" si="36"/>
        <v>1.431963236834217</v>
      </c>
      <c r="AA111" s="19">
        <f>IF($H111&gt;0,'Calculation Constants'!$B$9*Hydraulics!$K111^2/2/9.81/MAX($F$4:$F$263)*$H111,"")</f>
        <v>7.5705987075825154E-2</v>
      </c>
      <c r="AB111" s="19">
        <f t="shared" si="55"/>
        <v>1.5076692239100422</v>
      </c>
      <c r="AC111" s="19">
        <f t="shared" si="37"/>
        <v>0</v>
      </c>
      <c r="AD111" s="19">
        <f t="shared" si="48"/>
        <v>74.08566382323886</v>
      </c>
      <c r="AE111" s="23">
        <f t="shared" si="38"/>
        <v>989.81566382323888</v>
      </c>
      <c r="AF111" s="27">
        <f>(1/(2*LOG(3.7*$I111/'Calculation Constants'!$B$4*1000)))^2</f>
        <v>1.1575055557914658E-2</v>
      </c>
      <c r="AG111" s="19">
        <f t="shared" si="39"/>
        <v>1.6876908272744866</v>
      </c>
      <c r="AH111" s="19">
        <f>IF($H111&gt;0,'Calculation Constants'!$B$9*Hydraulics!$K111^2/2/9.81/MAX($F$4:$F$263)*$H111,"")</f>
        <v>7.5705987075825154E-2</v>
      </c>
      <c r="AI111" s="19">
        <f t="shared" si="49"/>
        <v>1.7633968143503118</v>
      </c>
      <c r="AJ111" s="19">
        <f t="shared" si="40"/>
        <v>0</v>
      </c>
      <c r="AK111" s="19">
        <f t="shared" si="50"/>
        <v>53.527322516528784</v>
      </c>
      <c r="AL111" s="23">
        <f t="shared" si="41"/>
        <v>969.2573225165288</v>
      </c>
      <c r="AM111" s="22">
        <f>(1/(2*LOG(3.7*($I111-0.008)/'Calculation Constants'!$B$5*1000)))^2</f>
        <v>1.4709705891825043E-2</v>
      </c>
      <c r="AN111" s="19">
        <f t="shared" si="51"/>
        <v>2.1543104841910781</v>
      </c>
      <c r="AO111" s="19">
        <f>IF($H111&gt;0,'Calculation Constants'!$B$9*Hydraulics!$K111^2/2/9.81/MAX($F$4:$F$263)*$H111,"")</f>
        <v>7.5705987075825154E-2</v>
      </c>
      <c r="AP111" s="19">
        <f t="shared" si="52"/>
        <v>2.2300164712669033</v>
      </c>
      <c r="AQ111" s="19">
        <f t="shared" si="42"/>
        <v>0</v>
      </c>
      <c r="AR111" s="19">
        <f t="shared" si="53"/>
        <v>16.080472185078975</v>
      </c>
      <c r="AS111" s="23">
        <f t="shared" si="43"/>
        <v>931.81047218507899</v>
      </c>
    </row>
    <row r="112" spans="5:45">
      <c r="E112" s="35" t="str">
        <f t="shared" si="29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4"/>
        <v>2</v>
      </c>
      <c r="I112" s="19">
        <v>1.8</v>
      </c>
      <c r="J112" s="36">
        <f>'Flow Rate Calculations'!$B$7</f>
        <v>4.0831050228310497</v>
      </c>
      <c r="K112" s="36">
        <f t="shared" si="44"/>
        <v>1.6045588828318709</v>
      </c>
      <c r="L112" s="37">
        <f>$I112*$K112/'Calculation Constants'!$B$7</f>
        <v>2555934.503625989</v>
      </c>
      <c r="M112" s="37">
        <f t="shared" si="30"/>
        <v>196.08600000000013</v>
      </c>
      <c r="N112" s="23">
        <f t="shared" si="45"/>
        <v>85.487141503714497</v>
      </c>
      <c r="O112" s="57">
        <f t="shared" si="31"/>
        <v>196.08600000000013</v>
      </c>
      <c r="P112" s="66">
        <f>MAX(I112*1000/'Calculation Constants'!$B$14,O112*10*I112*1000/2/('Calculation Constants'!$B$12*1000*'Calculation Constants'!$B$13))</f>
        <v>11.765160000000007</v>
      </c>
      <c r="Q112" s="68">
        <f t="shared" si="32"/>
        <v>1037700.2342585765</v>
      </c>
      <c r="R112" s="27">
        <f>(1/(2*LOG(3.7*$I112/'Calculation Constants'!$B$2*1000)))^2</f>
        <v>8.7463077071963571E-3</v>
      </c>
      <c r="S112" s="19">
        <f t="shared" si="46"/>
        <v>1.2752477269849725</v>
      </c>
      <c r="T112" s="19">
        <f>IF($H112&gt;0,'Calculation Constants'!$B$9*Hydraulics!$K112^2/2/9.81/MAX($F$4:$F$263)*$H112,"")</f>
        <v>7.5705987075825154E-2</v>
      </c>
      <c r="U112" s="19">
        <f t="shared" si="47"/>
        <v>1.3509537140607977</v>
      </c>
      <c r="V112" s="19">
        <f t="shared" si="33"/>
        <v>0</v>
      </c>
      <c r="W112" s="19">
        <f t="shared" si="34"/>
        <v>85.487141503714497</v>
      </c>
      <c r="X112" s="23">
        <f t="shared" si="35"/>
        <v>1001.0711415037144</v>
      </c>
      <c r="Y112" s="22">
        <f>(1/(2*LOG(3.7*$I112/'Calculation Constants'!$B$3*1000)))^2</f>
        <v>9.8211436332891755E-3</v>
      </c>
      <c r="Z112" s="19">
        <f t="shared" si="36"/>
        <v>1.431963236834217</v>
      </c>
      <c r="AA112" s="19">
        <f>IF($H112&gt;0,'Calculation Constants'!$B$9*Hydraulics!$K112^2/2/9.81/MAX($F$4:$F$263)*$H112,"")</f>
        <v>7.5705987075825154E-2</v>
      </c>
      <c r="AB112" s="19">
        <f t="shared" si="55"/>
        <v>1.5076692239100422</v>
      </c>
      <c r="AC112" s="19">
        <f t="shared" si="37"/>
        <v>0</v>
      </c>
      <c r="AD112" s="19">
        <f t="shared" si="48"/>
        <v>72.723994599328876</v>
      </c>
      <c r="AE112" s="23">
        <f t="shared" si="38"/>
        <v>988.30799459932882</v>
      </c>
      <c r="AF112" s="27">
        <f>(1/(2*LOG(3.7*$I112/'Calculation Constants'!$B$4*1000)))^2</f>
        <v>1.1575055557914658E-2</v>
      </c>
      <c r="AG112" s="19">
        <f t="shared" si="39"/>
        <v>1.6876908272744866</v>
      </c>
      <c r="AH112" s="19">
        <f>IF($H112&gt;0,'Calculation Constants'!$B$9*Hydraulics!$K112^2/2/9.81/MAX($F$4:$F$263)*$H112,"")</f>
        <v>7.5705987075825154E-2</v>
      </c>
      <c r="AI112" s="19">
        <f t="shared" si="49"/>
        <v>1.7633968143503118</v>
      </c>
      <c r="AJ112" s="19">
        <f t="shared" si="40"/>
        <v>0</v>
      </c>
      <c r="AK112" s="19">
        <f t="shared" si="50"/>
        <v>51.909925702178498</v>
      </c>
      <c r="AL112" s="23">
        <f t="shared" si="41"/>
        <v>967.49392570217844</v>
      </c>
      <c r="AM112" s="22">
        <f>(1/(2*LOG(3.7*($I112-0.008)/'Calculation Constants'!$B$5*1000)))^2</f>
        <v>1.4709705891825043E-2</v>
      </c>
      <c r="AN112" s="19">
        <f t="shared" si="51"/>
        <v>2.1543104841910781</v>
      </c>
      <c r="AO112" s="19">
        <f>IF($H112&gt;0,'Calculation Constants'!$B$9*Hydraulics!$K112^2/2/9.81/MAX($F$4:$F$263)*$H112,"")</f>
        <v>7.5705987075825154E-2</v>
      </c>
      <c r="AP112" s="19">
        <f t="shared" si="52"/>
        <v>2.2300164712669033</v>
      </c>
      <c r="AQ112" s="19">
        <f t="shared" si="42"/>
        <v>0</v>
      </c>
      <c r="AR112" s="19">
        <f t="shared" si="53"/>
        <v>13.996455713812111</v>
      </c>
      <c r="AS112" s="23">
        <f t="shared" si="43"/>
        <v>929.58045571381206</v>
      </c>
    </row>
    <row r="113" spans="5:45">
      <c r="E113" s="35" t="str">
        <f t="shared" si="29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4"/>
        <v>2</v>
      </c>
      <c r="I113" s="19">
        <v>1.8</v>
      </c>
      <c r="J113" s="36">
        <f>'Flow Rate Calculations'!$B$7</f>
        <v>4.0831050228310497</v>
      </c>
      <c r="K113" s="36">
        <f t="shared" si="44"/>
        <v>1.6045588828318709</v>
      </c>
      <c r="L113" s="37">
        <f>$I113*$K113/'Calculation Constants'!$B$7</f>
        <v>2555934.503625989</v>
      </c>
      <c r="M113" s="37">
        <f t="shared" si="30"/>
        <v>196.22600000000011</v>
      </c>
      <c r="N113" s="23">
        <f t="shared" si="45"/>
        <v>84.276187789653704</v>
      </c>
      <c r="O113" s="57">
        <f t="shared" si="31"/>
        <v>196.22600000000011</v>
      </c>
      <c r="P113" s="66">
        <f>MAX(I113*1000/'Calculation Constants'!$B$14,O113*10*I113*1000/2/('Calculation Constants'!$B$12*1000*'Calculation Constants'!$B$13))</f>
        <v>11.773560000000007</v>
      </c>
      <c r="Q113" s="68">
        <f t="shared" si="32"/>
        <v>1038436.2456857221</v>
      </c>
      <c r="R113" s="27">
        <f>(1/(2*LOG(3.7*$I113/'Calculation Constants'!$B$2*1000)))^2</f>
        <v>8.7463077071963571E-3</v>
      </c>
      <c r="S113" s="19">
        <f t="shared" si="46"/>
        <v>1.2752477269849725</v>
      </c>
      <c r="T113" s="19">
        <f>IF($H113&gt;0,'Calculation Constants'!$B$9*Hydraulics!$K113^2/2/9.81/MAX($F$4:$F$263)*$H113,"")</f>
        <v>7.5705987075825154E-2</v>
      </c>
      <c r="U113" s="19">
        <f t="shared" si="47"/>
        <v>1.3509537140607977</v>
      </c>
      <c r="V113" s="19">
        <f t="shared" si="33"/>
        <v>0</v>
      </c>
      <c r="W113" s="19">
        <f t="shared" si="34"/>
        <v>84.276187789653704</v>
      </c>
      <c r="X113" s="23">
        <f t="shared" si="35"/>
        <v>999.72018778965366</v>
      </c>
      <c r="Y113" s="22">
        <f>(1/(2*LOG(3.7*$I113/'Calculation Constants'!$B$3*1000)))^2</f>
        <v>9.8211436332891755E-3</v>
      </c>
      <c r="Z113" s="19">
        <f t="shared" si="36"/>
        <v>1.431963236834217</v>
      </c>
      <c r="AA113" s="19">
        <f>IF($H113&gt;0,'Calculation Constants'!$B$9*Hydraulics!$K113^2/2/9.81/MAX($F$4:$F$263)*$H113,"")</f>
        <v>7.5705987075825154E-2</v>
      </c>
      <c r="AB113" s="19">
        <f t="shared" si="55"/>
        <v>1.5076692239100422</v>
      </c>
      <c r="AC113" s="19">
        <f t="shared" si="37"/>
        <v>0</v>
      </c>
      <c r="AD113" s="19">
        <f t="shared" si="48"/>
        <v>71.356325375418805</v>
      </c>
      <c r="AE113" s="23">
        <f t="shared" si="38"/>
        <v>986.80032537541877</v>
      </c>
      <c r="AF113" s="27">
        <f>(1/(2*LOG(3.7*$I113/'Calculation Constants'!$B$4*1000)))^2</f>
        <v>1.1575055557914658E-2</v>
      </c>
      <c r="AG113" s="19">
        <f t="shared" si="39"/>
        <v>1.6876908272744866</v>
      </c>
      <c r="AH113" s="19">
        <f>IF($H113&gt;0,'Calculation Constants'!$B$9*Hydraulics!$K113^2/2/9.81/MAX($F$4:$F$263)*$H113,"")</f>
        <v>7.5705987075825154E-2</v>
      </c>
      <c r="AI113" s="19">
        <f t="shared" si="49"/>
        <v>1.7633968143503118</v>
      </c>
      <c r="AJ113" s="19">
        <f t="shared" si="40"/>
        <v>0</v>
      </c>
      <c r="AK113" s="19">
        <f t="shared" si="50"/>
        <v>50.286528887828126</v>
      </c>
      <c r="AL113" s="23">
        <f t="shared" si="41"/>
        <v>965.73052888782809</v>
      </c>
      <c r="AM113" s="22">
        <f>(1/(2*LOG(3.7*($I113-0.008)/'Calculation Constants'!$B$5*1000)))^2</f>
        <v>1.4709705891825043E-2</v>
      </c>
      <c r="AN113" s="19">
        <f t="shared" si="51"/>
        <v>2.1543104841910781</v>
      </c>
      <c r="AO113" s="19">
        <f>IF($H113&gt;0,'Calculation Constants'!$B$9*Hydraulics!$K113^2/2/9.81/MAX($F$4:$F$263)*$H113,"")</f>
        <v>7.5705987075825154E-2</v>
      </c>
      <c r="AP113" s="19">
        <f t="shared" si="52"/>
        <v>2.2300164712669033</v>
      </c>
      <c r="AQ113" s="19">
        <f t="shared" si="42"/>
        <v>0</v>
      </c>
      <c r="AR113" s="19">
        <f t="shared" si="53"/>
        <v>11.906439242545162</v>
      </c>
      <c r="AS113" s="23">
        <f t="shared" si="43"/>
        <v>927.35043924254512</v>
      </c>
    </row>
    <row r="114" spans="5:45">
      <c r="E114" s="35" t="str">
        <f t="shared" si="29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4"/>
        <v>2</v>
      </c>
      <c r="I114" s="19">
        <v>1.8</v>
      </c>
      <c r="J114" s="36">
        <f>'Flow Rate Calculations'!$B$7</f>
        <v>4.0831050228310497</v>
      </c>
      <c r="K114" s="36">
        <f t="shared" si="44"/>
        <v>1.6045588828318709</v>
      </c>
      <c r="L114" s="37">
        <f>$I114*$K114/'Calculation Constants'!$B$7</f>
        <v>2555934.503625989</v>
      </c>
      <c r="M114" s="37">
        <f t="shared" si="30"/>
        <v>198.15000000000009</v>
      </c>
      <c r="N114" s="23">
        <f t="shared" si="45"/>
        <v>84.849234075592904</v>
      </c>
      <c r="O114" s="57">
        <f t="shared" si="31"/>
        <v>198.15000000000009</v>
      </c>
      <c r="P114" s="66">
        <f>MAX(I114*1000/'Calculation Constants'!$B$14,O114*10*I114*1000/2/('Calculation Constants'!$B$12*1000*'Calculation Constants'!$B$13))</f>
        <v>11.889000000000006</v>
      </c>
      <c r="Q114" s="68">
        <f t="shared" si="32"/>
        <v>1048550.4404584797</v>
      </c>
      <c r="R114" s="27">
        <f>(1/(2*LOG(3.7*$I114/'Calculation Constants'!$B$2*1000)))^2</f>
        <v>8.7463077071963571E-3</v>
      </c>
      <c r="S114" s="19">
        <f t="shared" si="46"/>
        <v>1.2752477269849725</v>
      </c>
      <c r="T114" s="19">
        <f>IF($H114&gt;0,'Calculation Constants'!$B$9*Hydraulics!$K114^2/2/9.81/MAX($F$4:$F$263)*$H114,"")</f>
        <v>7.5705987075825154E-2</v>
      </c>
      <c r="U114" s="19">
        <f t="shared" si="47"/>
        <v>1.3509537140607977</v>
      </c>
      <c r="V114" s="19">
        <f t="shared" si="33"/>
        <v>0</v>
      </c>
      <c r="W114" s="19">
        <f t="shared" si="34"/>
        <v>84.849234075592904</v>
      </c>
      <c r="X114" s="23">
        <f t="shared" si="35"/>
        <v>998.36923407559289</v>
      </c>
      <c r="Y114" s="22">
        <f>(1/(2*LOG(3.7*$I114/'Calculation Constants'!$B$3*1000)))^2</f>
        <v>9.8211436332891755E-3</v>
      </c>
      <c r="Z114" s="19">
        <f t="shared" si="36"/>
        <v>1.431963236834217</v>
      </c>
      <c r="AA114" s="19">
        <f>IF($H114&gt;0,'Calculation Constants'!$B$9*Hydraulics!$K114^2/2/9.81/MAX($F$4:$F$263)*$H114,"")</f>
        <v>7.5705987075825154E-2</v>
      </c>
      <c r="AB114" s="19">
        <f t="shared" si="55"/>
        <v>1.5076692239100422</v>
      </c>
      <c r="AC114" s="19">
        <f t="shared" si="37"/>
        <v>0</v>
      </c>
      <c r="AD114" s="19">
        <f t="shared" si="48"/>
        <v>71.772656151508727</v>
      </c>
      <c r="AE114" s="23">
        <f t="shared" si="38"/>
        <v>985.29265615150871</v>
      </c>
      <c r="AF114" s="27">
        <f>(1/(2*LOG(3.7*$I114/'Calculation Constants'!$B$4*1000)))^2</f>
        <v>1.1575055557914658E-2</v>
      </c>
      <c r="AG114" s="19">
        <f t="shared" si="39"/>
        <v>1.6876908272744866</v>
      </c>
      <c r="AH114" s="19">
        <f>IF($H114&gt;0,'Calculation Constants'!$B$9*Hydraulics!$K114^2/2/9.81/MAX($F$4:$F$263)*$H114,"")</f>
        <v>7.5705987075825154E-2</v>
      </c>
      <c r="AI114" s="19">
        <f t="shared" si="49"/>
        <v>1.7633968143503118</v>
      </c>
      <c r="AJ114" s="19">
        <f t="shared" si="40"/>
        <v>0</v>
      </c>
      <c r="AK114" s="19">
        <f t="shared" si="50"/>
        <v>50.447132073477746</v>
      </c>
      <c r="AL114" s="23">
        <f t="shared" si="41"/>
        <v>963.96713207347773</v>
      </c>
      <c r="AM114" s="22">
        <f>(1/(2*LOG(3.7*($I114-0.008)/'Calculation Constants'!$B$5*1000)))^2</f>
        <v>1.4709705891825043E-2</v>
      </c>
      <c r="AN114" s="19">
        <f t="shared" si="51"/>
        <v>2.1543104841910781</v>
      </c>
      <c r="AO114" s="19">
        <f>IF($H114&gt;0,'Calculation Constants'!$B$9*Hydraulics!$K114^2/2/9.81/MAX($F$4:$F$263)*$H114,"")</f>
        <v>7.5705987075825154E-2</v>
      </c>
      <c r="AP114" s="19">
        <f t="shared" si="52"/>
        <v>2.2300164712669033</v>
      </c>
      <c r="AQ114" s="19">
        <f t="shared" si="42"/>
        <v>0</v>
      </c>
      <c r="AR114" s="19">
        <f t="shared" si="53"/>
        <v>11.600422771278204</v>
      </c>
      <c r="AS114" s="23">
        <f t="shared" si="43"/>
        <v>925.12042277127819</v>
      </c>
    </row>
    <row r="115" spans="5:45">
      <c r="E115" s="35" t="str">
        <f t="shared" si="29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4"/>
        <v>2</v>
      </c>
      <c r="I115" s="19">
        <v>1.8</v>
      </c>
      <c r="J115" s="36">
        <f>'Flow Rate Calculations'!$B$7</f>
        <v>4.0831050228310497</v>
      </c>
      <c r="K115" s="36">
        <f t="shared" si="44"/>
        <v>1.6045588828318709</v>
      </c>
      <c r="L115" s="37">
        <f>$I115*$K115/'Calculation Constants'!$B$7</f>
        <v>2555934.503625989</v>
      </c>
      <c r="M115" s="37">
        <f t="shared" si="30"/>
        <v>199.14600000000007</v>
      </c>
      <c r="N115" s="23">
        <f t="shared" si="45"/>
        <v>84.494280361532105</v>
      </c>
      <c r="O115" s="57">
        <f t="shared" si="31"/>
        <v>199.14600000000007</v>
      </c>
      <c r="P115" s="66">
        <f>MAX(I115*1000/'Calculation Constants'!$B$14,O115*10*I115*1000/2/('Calculation Constants'!$B$12*1000*'Calculation Constants'!$B$13))</f>
        <v>11.948760000000005</v>
      </c>
      <c r="Q115" s="68">
        <f t="shared" si="32"/>
        <v>1053785.7546070185</v>
      </c>
      <c r="R115" s="27">
        <f>(1/(2*LOG(3.7*$I115/'Calculation Constants'!$B$2*1000)))^2</f>
        <v>8.7463077071963571E-3</v>
      </c>
      <c r="S115" s="19">
        <f t="shared" si="46"/>
        <v>1.2752477269849725</v>
      </c>
      <c r="T115" s="19">
        <f>IF($H115&gt;0,'Calculation Constants'!$B$9*Hydraulics!$K115^2/2/9.81/MAX($F$4:$F$263)*$H115,"")</f>
        <v>7.5705987075825154E-2</v>
      </c>
      <c r="U115" s="19">
        <f t="shared" si="47"/>
        <v>1.3509537140607977</v>
      </c>
      <c r="V115" s="19">
        <f t="shared" si="33"/>
        <v>0</v>
      </c>
      <c r="W115" s="19">
        <f t="shared" si="34"/>
        <v>84.494280361532105</v>
      </c>
      <c r="X115" s="23">
        <f t="shared" si="35"/>
        <v>997.01828036153211</v>
      </c>
      <c r="Y115" s="22">
        <f>(1/(2*LOG(3.7*$I115/'Calculation Constants'!$B$3*1000)))^2</f>
        <v>9.8211436332891755E-3</v>
      </c>
      <c r="Z115" s="19">
        <f t="shared" si="36"/>
        <v>1.431963236834217</v>
      </c>
      <c r="AA115" s="19">
        <f>IF($H115&gt;0,'Calculation Constants'!$B$9*Hydraulics!$K115^2/2/9.81/MAX($F$4:$F$263)*$H115,"")</f>
        <v>7.5705987075825154E-2</v>
      </c>
      <c r="AB115" s="19">
        <f t="shared" si="55"/>
        <v>1.5076692239100422</v>
      </c>
      <c r="AC115" s="19">
        <f t="shared" si="37"/>
        <v>0</v>
      </c>
      <c r="AD115" s="19">
        <f t="shared" si="48"/>
        <v>71.260986927598651</v>
      </c>
      <c r="AE115" s="23">
        <f t="shared" si="38"/>
        <v>983.78498692759865</v>
      </c>
      <c r="AF115" s="27">
        <f>(1/(2*LOG(3.7*$I115/'Calculation Constants'!$B$4*1000)))^2</f>
        <v>1.1575055557914658E-2</v>
      </c>
      <c r="AG115" s="19">
        <f t="shared" si="39"/>
        <v>1.6876908272744866</v>
      </c>
      <c r="AH115" s="19">
        <f>IF($H115&gt;0,'Calculation Constants'!$B$9*Hydraulics!$K115^2/2/9.81/MAX($F$4:$F$263)*$H115,"")</f>
        <v>7.5705987075825154E-2</v>
      </c>
      <c r="AI115" s="19">
        <f t="shared" si="49"/>
        <v>1.7633968143503118</v>
      </c>
      <c r="AJ115" s="19">
        <f t="shared" si="40"/>
        <v>0</v>
      </c>
      <c r="AK115" s="19">
        <f t="shared" si="50"/>
        <v>49.679735259127369</v>
      </c>
      <c r="AL115" s="23">
        <f t="shared" si="41"/>
        <v>962.20373525912737</v>
      </c>
      <c r="AM115" s="22">
        <f>(1/(2*LOG(3.7*($I115-0.008)/'Calculation Constants'!$B$5*1000)))^2</f>
        <v>1.4709705891825043E-2</v>
      </c>
      <c r="AN115" s="19">
        <f t="shared" si="51"/>
        <v>2.1543104841910781</v>
      </c>
      <c r="AO115" s="19">
        <f>IF($H115&gt;0,'Calculation Constants'!$B$9*Hydraulics!$K115^2/2/9.81/MAX($F$4:$F$263)*$H115,"")</f>
        <v>7.5705987075825154E-2</v>
      </c>
      <c r="AP115" s="19">
        <f t="shared" si="52"/>
        <v>2.2300164712669033</v>
      </c>
      <c r="AQ115" s="19">
        <f t="shared" si="42"/>
        <v>0</v>
      </c>
      <c r="AR115" s="19">
        <f t="shared" si="53"/>
        <v>10.366406300011249</v>
      </c>
      <c r="AS115" s="23">
        <f t="shared" si="43"/>
        <v>922.89040630001125</v>
      </c>
    </row>
    <row r="116" spans="5:45">
      <c r="E116" s="35" t="str">
        <f t="shared" si="29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4"/>
        <v>2</v>
      </c>
      <c r="I116" s="19">
        <v>1.8</v>
      </c>
      <c r="J116" s="36">
        <f>'Flow Rate Calculations'!$B$7</f>
        <v>4.0831050228310497</v>
      </c>
      <c r="K116" s="36">
        <f t="shared" si="44"/>
        <v>1.6045588828318709</v>
      </c>
      <c r="L116" s="37">
        <f>$I116*$K116/'Calculation Constants'!$B$7</f>
        <v>2555934.503625989</v>
      </c>
      <c r="M116" s="37">
        <f t="shared" si="30"/>
        <v>199.10500000000002</v>
      </c>
      <c r="N116" s="23">
        <f t="shared" si="45"/>
        <v>83.102326647471273</v>
      </c>
      <c r="O116" s="57">
        <f t="shared" si="31"/>
        <v>199.10500000000002</v>
      </c>
      <c r="P116" s="66">
        <f>MAX(I116*1000/'Calculation Constants'!$B$14,O116*10*I116*1000/2/('Calculation Constants'!$B$12*1000*'Calculation Constants'!$B$13))</f>
        <v>11.946300000000001</v>
      </c>
      <c r="Q116" s="68">
        <f t="shared" si="32"/>
        <v>1053570.251639718</v>
      </c>
      <c r="R116" s="27">
        <f>(1/(2*LOG(3.7*$I116/'Calculation Constants'!$B$2*1000)))^2</f>
        <v>8.7463077071963571E-3</v>
      </c>
      <c r="S116" s="19">
        <f t="shared" si="46"/>
        <v>1.2752477269849725</v>
      </c>
      <c r="T116" s="19">
        <f>IF($H116&gt;0,'Calculation Constants'!$B$9*Hydraulics!$K116^2/2/9.81/MAX($F$4:$F$263)*$H116,"")</f>
        <v>7.5705987075825154E-2</v>
      </c>
      <c r="U116" s="19">
        <f t="shared" si="47"/>
        <v>1.3509537140607977</v>
      </c>
      <c r="V116" s="19">
        <f t="shared" si="33"/>
        <v>0</v>
      </c>
      <c r="W116" s="19">
        <f t="shared" si="34"/>
        <v>83.102326647471273</v>
      </c>
      <c r="X116" s="23">
        <f t="shared" si="35"/>
        <v>995.66732664747133</v>
      </c>
      <c r="Y116" s="22">
        <f>(1/(2*LOG(3.7*$I116/'Calculation Constants'!$B$3*1000)))^2</f>
        <v>9.8211436332891755E-3</v>
      </c>
      <c r="Z116" s="19">
        <f t="shared" si="36"/>
        <v>1.431963236834217</v>
      </c>
      <c r="AA116" s="19">
        <f>IF($H116&gt;0,'Calculation Constants'!$B$9*Hydraulics!$K116^2/2/9.81/MAX($F$4:$F$263)*$H116,"")</f>
        <v>7.5705987075825154E-2</v>
      </c>
      <c r="AB116" s="19">
        <f t="shared" si="55"/>
        <v>1.5076692239100422</v>
      </c>
      <c r="AC116" s="19">
        <f t="shared" si="37"/>
        <v>0</v>
      </c>
      <c r="AD116" s="19">
        <f t="shared" si="48"/>
        <v>69.712317703688541</v>
      </c>
      <c r="AE116" s="23">
        <f t="shared" si="38"/>
        <v>982.2773177036886</v>
      </c>
      <c r="AF116" s="27">
        <f>(1/(2*LOG(3.7*$I116/'Calculation Constants'!$B$4*1000)))^2</f>
        <v>1.1575055557914658E-2</v>
      </c>
      <c r="AG116" s="19">
        <f t="shared" si="39"/>
        <v>1.6876908272744866</v>
      </c>
      <c r="AH116" s="19">
        <f>IF($H116&gt;0,'Calculation Constants'!$B$9*Hydraulics!$K116^2/2/9.81/MAX($F$4:$F$263)*$H116,"")</f>
        <v>7.5705987075825154E-2</v>
      </c>
      <c r="AI116" s="19">
        <f t="shared" si="49"/>
        <v>1.7633968143503118</v>
      </c>
      <c r="AJ116" s="19">
        <f t="shared" si="40"/>
        <v>0</v>
      </c>
      <c r="AK116" s="19">
        <f t="shared" si="50"/>
        <v>47.875338444776958</v>
      </c>
      <c r="AL116" s="23">
        <f t="shared" si="41"/>
        <v>960.44033844477701</v>
      </c>
      <c r="AM116" s="22">
        <f>(1/(2*LOG(3.7*($I116-0.008)/'Calculation Constants'!$B$5*1000)))^2</f>
        <v>1.4709705891825043E-2</v>
      </c>
      <c r="AN116" s="19">
        <f t="shared" si="51"/>
        <v>2.1543104841910781</v>
      </c>
      <c r="AO116" s="19">
        <f>IF($H116&gt;0,'Calculation Constants'!$B$9*Hydraulics!$K116^2/2/9.81/MAX($F$4:$F$263)*$H116,"")</f>
        <v>7.5705987075825154E-2</v>
      </c>
      <c r="AP116" s="19">
        <f t="shared" si="52"/>
        <v>2.2300164712669033</v>
      </c>
      <c r="AQ116" s="19">
        <f t="shared" si="42"/>
        <v>0</v>
      </c>
      <c r="AR116" s="19">
        <f t="shared" si="53"/>
        <v>8.0953898287442598</v>
      </c>
      <c r="AS116" s="23">
        <f t="shared" si="43"/>
        <v>920.66038982874431</v>
      </c>
    </row>
    <row r="117" spans="5:45">
      <c r="E117" s="35" t="str">
        <f t="shared" si="29"/>
        <v>Reservoir</v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4"/>
        <v>2</v>
      </c>
      <c r="I117" s="19">
        <v>2.2000000000000002</v>
      </c>
      <c r="J117" s="36">
        <f>'Flow Rate Calculations'!$B$7</f>
        <v>4.0831050228310497</v>
      </c>
      <c r="K117" s="36">
        <f t="shared" si="44"/>
        <v>1.0741261942924094</v>
      </c>
      <c r="L117" s="37">
        <f>$I117*$K117/'Calculation Constants'!$B$7</f>
        <v>2091219.139330355</v>
      </c>
      <c r="M117" s="37" t="str">
        <f t="shared" si="30"/>
        <v>Greater Dynamic Pressures</v>
      </c>
      <c r="N117" s="23">
        <f t="shared" si="45"/>
        <v>10</v>
      </c>
      <c r="O117" s="57">
        <f t="shared" si="31"/>
        <v>269.99999999999989</v>
      </c>
      <c r="P117" s="66">
        <f>MAX(I117*1000/'Calculation Constants'!$B$14,O117*10*I117*1000/2/('Calculation Constants'!$B$12*1000*'Calculation Constants'!$B$13))</f>
        <v>19.799999999999994</v>
      </c>
      <c r="Q117" s="68">
        <f t="shared" si="32"/>
        <v>2129173.4923014008</v>
      </c>
      <c r="R117" s="27">
        <f>(1/(2*LOG(3.7*$I117/'Calculation Constants'!$B$2*1000)))^2</f>
        <v>8.4679866037394684E-3</v>
      </c>
      <c r="S117" s="19">
        <f t="shared" si="46"/>
        <v>0.45268811177167712</v>
      </c>
      <c r="T117" s="19">
        <f>IF($H117&gt;0,'Calculation Constants'!$B$9*Hydraulics!$K117^2/2/9.81/MAX($F$4:$F$263)*$H117,"")</f>
        <v>3.3925755153643114E-2</v>
      </c>
      <c r="U117" s="19">
        <f t="shared" si="47"/>
        <v>0.48661386692532022</v>
      </c>
      <c r="V117" s="19">
        <f t="shared" si="33"/>
        <v>260</v>
      </c>
      <c r="W117" s="19">
        <f t="shared" si="34"/>
        <v>10</v>
      </c>
      <c r="X117" s="23">
        <f t="shared" si="35"/>
        <v>1183.4839999999999</v>
      </c>
      <c r="Y117" s="22">
        <f>(1/(2*LOG(3.7*$I117/'Calculation Constants'!$B$3*1000)))^2</f>
        <v>9.4904462912918219E-3</v>
      </c>
      <c r="Z117" s="19">
        <f t="shared" si="36"/>
        <v>0.50734754464280807</v>
      </c>
      <c r="AA117" s="19">
        <f>IF($H117&gt;0,'Calculation Constants'!$B$9*Hydraulics!$K117^2/2/9.81/MAX($F$4:$F$263)*$H117,"")</f>
        <v>3.3925755153643114E-2</v>
      </c>
      <c r="AB117" s="19">
        <f t="shared" si="55"/>
        <v>0.54127329979645122</v>
      </c>
      <c r="AC117" s="19">
        <f t="shared" si="37"/>
        <v>260</v>
      </c>
      <c r="AD117" s="19">
        <f t="shared" si="48"/>
        <v>269.99999999999989</v>
      </c>
      <c r="AE117" s="23">
        <f t="shared" si="38"/>
        <v>1183.4839999999999</v>
      </c>
      <c r="AF117" s="27">
        <f>(1/(2*LOG(3.7*$I117/'Calculation Constants'!$B$4*1000)))^2</f>
        <v>1.1152845500629007E-2</v>
      </c>
      <c r="AG117" s="19">
        <f t="shared" si="39"/>
        <v>0.59621735446906032</v>
      </c>
      <c r="AH117" s="19">
        <f>IF($H117&gt;0,'Calculation Constants'!$B$9*Hydraulics!$K117^2/2/9.81/MAX($F$4:$F$263)*$H117,"")</f>
        <v>3.3925755153643114E-2</v>
      </c>
      <c r="AI117" s="19">
        <f t="shared" si="49"/>
        <v>0.63014310962270348</v>
      </c>
      <c r="AJ117" s="19">
        <f t="shared" si="40"/>
        <v>260</v>
      </c>
      <c r="AK117" s="19">
        <f t="shared" si="50"/>
        <v>269.99999999999989</v>
      </c>
      <c r="AL117" s="23">
        <f t="shared" si="41"/>
        <v>1183.4839999999999</v>
      </c>
      <c r="AM117" s="22">
        <f>(1/(2*LOG(3.7*($I117-0.008)/'Calculation Constants'!$B$5*1000)))^2</f>
        <v>1.4104604303736145E-2</v>
      </c>
      <c r="AN117" s="19">
        <f t="shared" si="51"/>
        <v>0.75676661531854661</v>
      </c>
      <c r="AO117" s="19">
        <f>IF($H117&gt;0,'Calculation Constants'!$B$9*Hydraulics!$K117^2/2/9.81/MAX($F$4:$F$263)*$H117,"")</f>
        <v>3.3925755153643114E-2</v>
      </c>
      <c r="AP117" s="19">
        <f t="shared" si="52"/>
        <v>0.79069237047218976</v>
      </c>
      <c r="AQ117" s="19">
        <f t="shared" si="42"/>
        <v>260</v>
      </c>
      <c r="AR117" s="19">
        <f t="shared" si="53"/>
        <v>269.99999999999989</v>
      </c>
      <c r="AS117" s="23">
        <f t="shared" si="43"/>
        <v>1183.4839999999999</v>
      </c>
    </row>
    <row r="118" spans="5:45">
      <c r="E118" s="35" t="str">
        <f t="shared" si="29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4"/>
        <v>2</v>
      </c>
      <c r="I118" s="19">
        <v>2.2000000000000002</v>
      </c>
      <c r="J118" s="36">
        <f>'Flow Rate Calculations'!$B$7</f>
        <v>4.0831050228310497</v>
      </c>
      <c r="K118" s="36">
        <f t="shared" si="44"/>
        <v>1.0741261942924094</v>
      </c>
      <c r="L118" s="37">
        <f>$I118*$K118/'Calculation Constants'!$B$7</f>
        <v>2091219.139330355</v>
      </c>
      <c r="M118" s="37" t="str">
        <f t="shared" si="30"/>
        <v>Greater Dynamic Pressures</v>
      </c>
      <c r="N118" s="23">
        <f t="shared" si="45"/>
        <v>269.45238613307458</v>
      </c>
      <c r="O118" s="57">
        <f t="shared" si="31"/>
        <v>269.39772670020341</v>
      </c>
      <c r="P118" s="66">
        <f>MAX(I118*1000/'Calculation Constants'!$B$14,O118*10*I118*1000/2/('Calculation Constants'!$B$12*1000*'Calculation Constants'!$B$13))</f>
        <v>19.75583329134825</v>
      </c>
      <c r="Q118" s="68">
        <f t="shared" si="32"/>
        <v>2124467.1055955086</v>
      </c>
      <c r="R118" s="27">
        <f>(1/(2*LOG(3.7*$I118/'Calculation Constants'!$B$2*1000)))^2</f>
        <v>8.4679866037394684E-3</v>
      </c>
      <c r="S118" s="19">
        <f t="shared" si="46"/>
        <v>0.45268811177167712</v>
      </c>
      <c r="T118" s="19">
        <f>IF($H118&gt;0,'Calculation Constants'!$B$9*Hydraulics!$K118^2/2/9.81/MAX($F$4:$F$263)*$H118,"")</f>
        <v>3.3925755153643114E-2</v>
      </c>
      <c r="U118" s="19">
        <f t="shared" si="47"/>
        <v>0.48661386692532022</v>
      </c>
      <c r="V118" s="19">
        <f t="shared" si="33"/>
        <v>0</v>
      </c>
      <c r="W118" s="19">
        <f t="shared" si="34"/>
        <v>269.45238613307458</v>
      </c>
      <c r="X118" s="23">
        <f t="shared" si="35"/>
        <v>1182.9973861330745</v>
      </c>
      <c r="Y118" s="22">
        <f>(1/(2*LOG(3.7*$I118/'Calculation Constants'!$B$3*1000)))^2</f>
        <v>9.4904462912918219E-3</v>
      </c>
      <c r="Z118" s="19">
        <f t="shared" si="36"/>
        <v>0.50734754464280807</v>
      </c>
      <c r="AA118" s="19">
        <f>IF($H118&gt;0,'Calculation Constants'!$B$9*Hydraulics!$K118^2/2/9.81/MAX($F$4:$F$263)*$H118,"")</f>
        <v>3.3925755153643114E-2</v>
      </c>
      <c r="AB118" s="19">
        <f t="shared" si="55"/>
        <v>0.54127329979645122</v>
      </c>
      <c r="AC118" s="19">
        <f t="shared" si="37"/>
        <v>0</v>
      </c>
      <c r="AD118" s="19">
        <f t="shared" si="48"/>
        <v>269.39772670020341</v>
      </c>
      <c r="AE118" s="23">
        <f t="shared" si="38"/>
        <v>1182.9427267002034</v>
      </c>
      <c r="AF118" s="27">
        <f>(1/(2*LOG(3.7*$I118/'Calculation Constants'!$B$4*1000)))^2</f>
        <v>1.1152845500629007E-2</v>
      </c>
      <c r="AG118" s="19">
        <f t="shared" si="39"/>
        <v>0.59621735446906032</v>
      </c>
      <c r="AH118" s="19">
        <f>IF($H118&gt;0,'Calculation Constants'!$B$9*Hydraulics!$K118^2/2/9.81/MAX($F$4:$F$263)*$H118,"")</f>
        <v>3.3925755153643114E-2</v>
      </c>
      <c r="AI118" s="19">
        <f t="shared" si="49"/>
        <v>0.63014310962270348</v>
      </c>
      <c r="AJ118" s="19">
        <f t="shared" si="40"/>
        <v>0</v>
      </c>
      <c r="AK118" s="19">
        <f t="shared" si="50"/>
        <v>269.30885689037734</v>
      </c>
      <c r="AL118" s="23">
        <f t="shared" si="41"/>
        <v>1182.8538568903773</v>
      </c>
      <c r="AM118" s="22">
        <f>(1/(2*LOG(3.7*($I118-0.008)/'Calculation Constants'!$B$5*1000)))^2</f>
        <v>1.4104604303736145E-2</v>
      </c>
      <c r="AN118" s="19">
        <f t="shared" si="51"/>
        <v>0.75676661531854661</v>
      </c>
      <c r="AO118" s="19">
        <f>IF($H118&gt;0,'Calculation Constants'!$B$9*Hydraulics!$K118^2/2/9.81/MAX($F$4:$F$263)*$H118,"")</f>
        <v>3.3925755153643114E-2</v>
      </c>
      <c r="AP118" s="19">
        <f t="shared" si="52"/>
        <v>0.79069237047218976</v>
      </c>
      <c r="AQ118" s="19">
        <f t="shared" si="42"/>
        <v>0</v>
      </c>
      <c r="AR118" s="19">
        <f t="shared" si="53"/>
        <v>269.14830762952772</v>
      </c>
      <c r="AS118" s="23">
        <f t="shared" si="43"/>
        <v>1182.6933076295277</v>
      </c>
    </row>
    <row r="119" spans="5:45">
      <c r="E119" s="35" t="str">
        <f t="shared" si="29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4"/>
        <v>2</v>
      </c>
      <c r="I119" s="19">
        <v>2.2000000000000002</v>
      </c>
      <c r="J119" s="36">
        <f>'Flow Rate Calculations'!$B$7</f>
        <v>4.0831050228310497</v>
      </c>
      <c r="K119" s="36">
        <f t="shared" si="44"/>
        <v>1.0741261942924094</v>
      </c>
      <c r="L119" s="37">
        <f>$I119*$K119/'Calculation Constants'!$B$7</f>
        <v>2091219.139330355</v>
      </c>
      <c r="M119" s="37" t="str">
        <f t="shared" si="30"/>
        <v>Greater Dynamic Pressures</v>
      </c>
      <c r="N119" s="23">
        <f t="shared" si="45"/>
        <v>267.96477226614911</v>
      </c>
      <c r="O119" s="57">
        <f t="shared" si="31"/>
        <v>267.85545340040676</v>
      </c>
      <c r="P119" s="66">
        <f>MAX(I119*1000/'Calculation Constants'!$B$14,O119*10*I119*1000/2/('Calculation Constants'!$B$12*1000*'Calculation Constants'!$B$13))</f>
        <v>19.642733249363165</v>
      </c>
      <c r="Q119" s="68">
        <f t="shared" si="32"/>
        <v>2112414.3333189627</v>
      </c>
      <c r="R119" s="27">
        <f>(1/(2*LOG(3.7*$I119/'Calculation Constants'!$B$2*1000)))^2</f>
        <v>8.4679866037394684E-3</v>
      </c>
      <c r="S119" s="19">
        <f t="shared" si="46"/>
        <v>0.45268811177167712</v>
      </c>
      <c r="T119" s="19">
        <f>IF($H119&gt;0,'Calculation Constants'!$B$9*Hydraulics!$K119^2/2/9.81/MAX($F$4:$F$263)*$H119,"")</f>
        <v>3.3925755153643114E-2</v>
      </c>
      <c r="U119" s="19">
        <f t="shared" si="47"/>
        <v>0.48661386692532022</v>
      </c>
      <c r="V119" s="19">
        <f t="shared" si="33"/>
        <v>0</v>
      </c>
      <c r="W119" s="19">
        <f t="shared" si="34"/>
        <v>267.96477226614911</v>
      </c>
      <c r="X119" s="23">
        <f t="shared" si="35"/>
        <v>1182.5107722661492</v>
      </c>
      <c r="Y119" s="22">
        <f>(1/(2*LOG(3.7*$I119/'Calculation Constants'!$B$3*1000)))^2</f>
        <v>9.4904462912918219E-3</v>
      </c>
      <c r="Z119" s="19">
        <f t="shared" si="36"/>
        <v>0.50734754464280807</v>
      </c>
      <c r="AA119" s="19">
        <f>IF($H119&gt;0,'Calculation Constants'!$B$9*Hydraulics!$K119^2/2/9.81/MAX($F$4:$F$263)*$H119,"")</f>
        <v>3.3925755153643114E-2</v>
      </c>
      <c r="AB119" s="19">
        <f t="shared" si="55"/>
        <v>0.54127329979645122</v>
      </c>
      <c r="AC119" s="19">
        <f t="shared" si="37"/>
        <v>0</v>
      </c>
      <c r="AD119" s="19">
        <f t="shared" si="48"/>
        <v>267.85545340040676</v>
      </c>
      <c r="AE119" s="23">
        <f t="shared" si="38"/>
        <v>1182.4014534004068</v>
      </c>
      <c r="AF119" s="27">
        <f>(1/(2*LOG(3.7*$I119/'Calculation Constants'!$B$4*1000)))^2</f>
        <v>1.1152845500629007E-2</v>
      </c>
      <c r="AG119" s="19">
        <f t="shared" si="39"/>
        <v>0.59621735446906032</v>
      </c>
      <c r="AH119" s="19">
        <f>IF($H119&gt;0,'Calculation Constants'!$B$9*Hydraulics!$K119^2/2/9.81/MAX($F$4:$F$263)*$H119,"")</f>
        <v>3.3925755153643114E-2</v>
      </c>
      <c r="AI119" s="19">
        <f t="shared" si="49"/>
        <v>0.63014310962270348</v>
      </c>
      <c r="AJ119" s="19">
        <f t="shared" si="40"/>
        <v>0</v>
      </c>
      <c r="AK119" s="19">
        <f t="shared" si="50"/>
        <v>267.67771378075463</v>
      </c>
      <c r="AL119" s="23">
        <f t="shared" si="41"/>
        <v>1182.2237137807547</v>
      </c>
      <c r="AM119" s="22">
        <f>(1/(2*LOG(3.7*($I119-0.008)/'Calculation Constants'!$B$5*1000)))^2</f>
        <v>1.4104604303736145E-2</v>
      </c>
      <c r="AN119" s="19">
        <f t="shared" si="51"/>
        <v>0.75676661531854661</v>
      </c>
      <c r="AO119" s="19">
        <f>IF($H119&gt;0,'Calculation Constants'!$B$9*Hydraulics!$K119^2/2/9.81/MAX($F$4:$F$263)*$H119,"")</f>
        <v>3.3925755153643114E-2</v>
      </c>
      <c r="AP119" s="19">
        <f t="shared" si="52"/>
        <v>0.79069237047218976</v>
      </c>
      <c r="AQ119" s="19">
        <f t="shared" si="42"/>
        <v>0</v>
      </c>
      <c r="AR119" s="19">
        <f t="shared" si="53"/>
        <v>267.35661525905539</v>
      </c>
      <c r="AS119" s="23">
        <f t="shared" si="43"/>
        <v>1181.9026152590554</v>
      </c>
    </row>
    <row r="120" spans="5:45">
      <c r="E120" s="35" t="str">
        <f t="shared" si="29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4"/>
        <v>2</v>
      </c>
      <c r="I120" s="19">
        <v>2.2000000000000002</v>
      </c>
      <c r="J120" s="36">
        <f>'Flow Rate Calculations'!$B$7</f>
        <v>4.0831050228310497</v>
      </c>
      <c r="K120" s="36">
        <f t="shared" si="44"/>
        <v>1.0741261942924094</v>
      </c>
      <c r="L120" s="37">
        <f>$I120*$K120/'Calculation Constants'!$B$7</f>
        <v>2091219.139330355</v>
      </c>
      <c r="M120" s="37" t="str">
        <f t="shared" si="30"/>
        <v>Greater Dynamic Pressures</v>
      </c>
      <c r="N120" s="23">
        <f t="shared" si="45"/>
        <v>263.73915839922381</v>
      </c>
      <c r="O120" s="57">
        <f t="shared" si="31"/>
        <v>263.57518010061028</v>
      </c>
      <c r="P120" s="66">
        <f>MAX(I120*1000/'Calculation Constants'!$B$14,O120*10*I120*1000/2/('Calculation Constants'!$B$12*1000*'Calculation Constants'!$B$13))</f>
        <v>19.328846540711424</v>
      </c>
      <c r="Q120" s="68">
        <f t="shared" si="32"/>
        <v>2078957.6466033633</v>
      </c>
      <c r="R120" s="27">
        <f>(1/(2*LOG(3.7*$I120/'Calculation Constants'!$B$2*1000)))^2</f>
        <v>8.4679866037394684E-3</v>
      </c>
      <c r="S120" s="19">
        <f t="shared" si="46"/>
        <v>0.45268811177167712</v>
      </c>
      <c r="T120" s="19">
        <f>IF($H120&gt;0,'Calculation Constants'!$B$9*Hydraulics!$K120^2/2/9.81/MAX($F$4:$F$263)*$H120,"")</f>
        <v>3.3925755153643114E-2</v>
      </c>
      <c r="U120" s="19">
        <f t="shared" si="47"/>
        <v>0.48661386692532022</v>
      </c>
      <c r="V120" s="19">
        <f t="shared" si="33"/>
        <v>0</v>
      </c>
      <c r="W120" s="19">
        <f t="shared" si="34"/>
        <v>263.73915839922381</v>
      </c>
      <c r="X120" s="23">
        <f t="shared" si="35"/>
        <v>1182.0241583992238</v>
      </c>
      <c r="Y120" s="22">
        <f>(1/(2*LOG(3.7*$I120/'Calculation Constants'!$B$3*1000)))^2</f>
        <v>9.4904462912918219E-3</v>
      </c>
      <c r="Z120" s="19">
        <f t="shared" si="36"/>
        <v>0.50734754464280807</v>
      </c>
      <c r="AA120" s="19">
        <f>IF($H120&gt;0,'Calculation Constants'!$B$9*Hydraulics!$K120^2/2/9.81/MAX($F$4:$F$263)*$H120,"")</f>
        <v>3.3925755153643114E-2</v>
      </c>
      <c r="AB120" s="19">
        <f t="shared" si="55"/>
        <v>0.54127329979645122</v>
      </c>
      <c r="AC120" s="19">
        <f t="shared" si="37"/>
        <v>0</v>
      </c>
      <c r="AD120" s="19">
        <f t="shared" si="48"/>
        <v>263.57518010061028</v>
      </c>
      <c r="AE120" s="23">
        <f t="shared" si="38"/>
        <v>1181.8601801006103</v>
      </c>
      <c r="AF120" s="27">
        <f>(1/(2*LOG(3.7*$I120/'Calculation Constants'!$B$4*1000)))^2</f>
        <v>1.1152845500629007E-2</v>
      </c>
      <c r="AG120" s="19">
        <f t="shared" si="39"/>
        <v>0.59621735446906032</v>
      </c>
      <c r="AH120" s="19">
        <f>IF($H120&gt;0,'Calculation Constants'!$B$9*Hydraulics!$K120^2/2/9.81/MAX($F$4:$F$263)*$H120,"")</f>
        <v>3.3925755153643114E-2</v>
      </c>
      <c r="AI120" s="19">
        <f t="shared" si="49"/>
        <v>0.63014310962270348</v>
      </c>
      <c r="AJ120" s="19">
        <f t="shared" si="40"/>
        <v>0</v>
      </c>
      <c r="AK120" s="19">
        <f t="shared" si="50"/>
        <v>263.30857067113209</v>
      </c>
      <c r="AL120" s="23">
        <f t="shared" si="41"/>
        <v>1181.5935706711321</v>
      </c>
      <c r="AM120" s="22">
        <f>(1/(2*LOG(3.7*($I120-0.008)/'Calculation Constants'!$B$5*1000)))^2</f>
        <v>1.4104604303736145E-2</v>
      </c>
      <c r="AN120" s="19">
        <f t="shared" si="51"/>
        <v>0.75676661531854661</v>
      </c>
      <c r="AO120" s="19">
        <f>IF($H120&gt;0,'Calculation Constants'!$B$9*Hydraulics!$K120^2/2/9.81/MAX($F$4:$F$263)*$H120,"")</f>
        <v>3.3925755153643114E-2</v>
      </c>
      <c r="AP120" s="19">
        <f t="shared" si="52"/>
        <v>0.79069237047218976</v>
      </c>
      <c r="AQ120" s="19">
        <f t="shared" si="42"/>
        <v>0</v>
      </c>
      <c r="AR120" s="19">
        <f t="shared" si="53"/>
        <v>262.82692288858323</v>
      </c>
      <c r="AS120" s="23">
        <f t="shared" si="43"/>
        <v>1181.1119228885832</v>
      </c>
    </row>
    <row r="121" spans="5:45">
      <c r="E121" s="35" t="str">
        <f t="shared" si="29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4"/>
        <v>2</v>
      </c>
      <c r="I121" s="19">
        <v>2.2000000000000002</v>
      </c>
      <c r="J121" s="36">
        <f>'Flow Rate Calculations'!$B$7</f>
        <v>4.0831050228310497</v>
      </c>
      <c r="K121" s="36">
        <f t="shared" si="44"/>
        <v>1.0741261942924094</v>
      </c>
      <c r="L121" s="37">
        <f>$I121*$K121/'Calculation Constants'!$B$7</f>
        <v>2091219.139330355</v>
      </c>
      <c r="M121" s="37" t="str">
        <f t="shared" si="30"/>
        <v>Greater Dynamic Pressures</v>
      </c>
      <c r="N121" s="23">
        <f t="shared" si="45"/>
        <v>262.18054453229843</v>
      </c>
      <c r="O121" s="57">
        <f t="shared" si="31"/>
        <v>261.96190680081372</v>
      </c>
      <c r="P121" s="66">
        <f>MAX(I121*1000/'Calculation Constants'!$B$14,O121*10*I121*1000/2/('Calculation Constants'!$B$12*1000*'Calculation Constants'!$B$13))</f>
        <v>19.210539832059677</v>
      </c>
      <c r="Q121" s="68">
        <f t="shared" si="32"/>
        <v>2066345.0001095135</v>
      </c>
      <c r="R121" s="27">
        <f>(1/(2*LOG(3.7*$I121/'Calculation Constants'!$B$2*1000)))^2</f>
        <v>8.4679866037394684E-3</v>
      </c>
      <c r="S121" s="19">
        <f t="shared" si="46"/>
        <v>0.45268811177167712</v>
      </c>
      <c r="T121" s="19">
        <f>IF($H121&gt;0,'Calculation Constants'!$B$9*Hydraulics!$K121^2/2/9.81/MAX($F$4:$F$263)*$H121,"")</f>
        <v>3.3925755153643114E-2</v>
      </c>
      <c r="U121" s="19">
        <f t="shared" si="47"/>
        <v>0.48661386692532022</v>
      </c>
      <c r="V121" s="19">
        <f t="shared" si="33"/>
        <v>0</v>
      </c>
      <c r="W121" s="19">
        <f t="shared" si="34"/>
        <v>262.18054453229843</v>
      </c>
      <c r="X121" s="23">
        <f t="shared" si="35"/>
        <v>1181.5375445322984</v>
      </c>
      <c r="Y121" s="22">
        <f>(1/(2*LOG(3.7*$I121/'Calculation Constants'!$B$3*1000)))^2</f>
        <v>9.4904462912918219E-3</v>
      </c>
      <c r="Z121" s="19">
        <f t="shared" si="36"/>
        <v>0.50734754464280807</v>
      </c>
      <c r="AA121" s="19">
        <f>IF($H121&gt;0,'Calculation Constants'!$B$9*Hydraulics!$K121^2/2/9.81/MAX($F$4:$F$263)*$H121,"")</f>
        <v>3.3925755153643114E-2</v>
      </c>
      <c r="AB121" s="19">
        <f t="shared" si="55"/>
        <v>0.54127329979645122</v>
      </c>
      <c r="AC121" s="19">
        <f t="shared" si="37"/>
        <v>0</v>
      </c>
      <c r="AD121" s="19">
        <f t="shared" si="48"/>
        <v>261.96190680081372</v>
      </c>
      <c r="AE121" s="23">
        <f t="shared" si="38"/>
        <v>1181.3189068008137</v>
      </c>
      <c r="AF121" s="27">
        <f>(1/(2*LOG(3.7*$I121/'Calculation Constants'!$B$4*1000)))^2</f>
        <v>1.1152845500629007E-2</v>
      </c>
      <c r="AG121" s="19">
        <f t="shared" si="39"/>
        <v>0.59621735446906032</v>
      </c>
      <c r="AH121" s="19">
        <f>IF($H121&gt;0,'Calculation Constants'!$B$9*Hydraulics!$K121^2/2/9.81/MAX($F$4:$F$263)*$H121,"")</f>
        <v>3.3925755153643114E-2</v>
      </c>
      <c r="AI121" s="19">
        <f t="shared" si="49"/>
        <v>0.63014310962270348</v>
      </c>
      <c r="AJ121" s="19">
        <f t="shared" si="40"/>
        <v>0</v>
      </c>
      <c r="AK121" s="19">
        <f t="shared" si="50"/>
        <v>261.60642756150946</v>
      </c>
      <c r="AL121" s="23">
        <f t="shared" si="41"/>
        <v>1180.9634275615094</v>
      </c>
      <c r="AM121" s="22">
        <f>(1/(2*LOG(3.7*($I121-0.008)/'Calculation Constants'!$B$5*1000)))^2</f>
        <v>1.4104604303736145E-2</v>
      </c>
      <c r="AN121" s="19">
        <f t="shared" si="51"/>
        <v>0.75676661531854661</v>
      </c>
      <c r="AO121" s="19">
        <f>IF($H121&gt;0,'Calculation Constants'!$B$9*Hydraulics!$K121^2/2/9.81/MAX($F$4:$F$263)*$H121,"")</f>
        <v>3.3925755153643114E-2</v>
      </c>
      <c r="AP121" s="19">
        <f t="shared" si="52"/>
        <v>0.79069237047218976</v>
      </c>
      <c r="AQ121" s="19">
        <f t="shared" si="42"/>
        <v>0</v>
      </c>
      <c r="AR121" s="19">
        <f t="shared" si="53"/>
        <v>260.96423051811098</v>
      </c>
      <c r="AS121" s="23">
        <f t="shared" si="43"/>
        <v>1180.321230518111</v>
      </c>
    </row>
    <row r="122" spans="5:45">
      <c r="E122" s="35" t="str">
        <f t="shared" si="29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4"/>
        <v>2</v>
      </c>
      <c r="I122" s="19">
        <v>2.2000000000000002</v>
      </c>
      <c r="J122" s="36">
        <f>'Flow Rate Calculations'!$B$7</f>
        <v>4.0831050228310497</v>
      </c>
      <c r="K122" s="36">
        <f t="shared" si="44"/>
        <v>1.0741261942924094</v>
      </c>
      <c r="L122" s="37">
        <f>$I122*$K122/'Calculation Constants'!$B$7</f>
        <v>2091219.139330355</v>
      </c>
      <c r="M122" s="37" t="str">
        <f t="shared" si="30"/>
        <v>Greater Dynamic Pressures</v>
      </c>
      <c r="N122" s="23">
        <f t="shared" si="45"/>
        <v>262.40193066537302</v>
      </c>
      <c r="O122" s="57">
        <f t="shared" si="31"/>
        <v>262.12863350101713</v>
      </c>
      <c r="P122" s="66">
        <f>MAX(I122*1000/'Calculation Constants'!$B$14,O122*10*I122*1000/2/('Calculation Constants'!$B$12*1000*'Calculation Constants'!$B$13))</f>
        <v>19.222766456741258</v>
      </c>
      <c r="Q122" s="68">
        <f t="shared" si="32"/>
        <v>2067648.5412611307</v>
      </c>
      <c r="R122" s="27">
        <f>(1/(2*LOG(3.7*$I122/'Calculation Constants'!$B$2*1000)))^2</f>
        <v>8.4679866037394684E-3</v>
      </c>
      <c r="S122" s="19">
        <f t="shared" si="46"/>
        <v>0.45268811177167712</v>
      </c>
      <c r="T122" s="19">
        <f>IF($H122&gt;0,'Calculation Constants'!$B$9*Hydraulics!$K122^2/2/9.81/MAX($F$4:$F$263)*$H122,"")</f>
        <v>3.3925755153643114E-2</v>
      </c>
      <c r="U122" s="19">
        <f t="shared" si="47"/>
        <v>0.48661386692532022</v>
      </c>
      <c r="V122" s="19">
        <f t="shared" si="33"/>
        <v>0</v>
      </c>
      <c r="W122" s="19">
        <f t="shared" si="34"/>
        <v>262.40193066537302</v>
      </c>
      <c r="X122" s="23">
        <f t="shared" si="35"/>
        <v>1181.050930665373</v>
      </c>
      <c r="Y122" s="22">
        <f>(1/(2*LOG(3.7*$I122/'Calculation Constants'!$B$3*1000)))^2</f>
        <v>9.4904462912918219E-3</v>
      </c>
      <c r="Z122" s="19">
        <f t="shared" si="36"/>
        <v>0.50734754464280807</v>
      </c>
      <c r="AA122" s="19">
        <f>IF($H122&gt;0,'Calculation Constants'!$B$9*Hydraulics!$K122^2/2/9.81/MAX($F$4:$F$263)*$H122,"")</f>
        <v>3.3925755153643114E-2</v>
      </c>
      <c r="AB122" s="19">
        <f t="shared" si="55"/>
        <v>0.54127329979645122</v>
      </c>
      <c r="AC122" s="19">
        <f t="shared" si="37"/>
        <v>0</v>
      </c>
      <c r="AD122" s="19">
        <f t="shared" si="48"/>
        <v>262.12863350101713</v>
      </c>
      <c r="AE122" s="23">
        <f t="shared" si="38"/>
        <v>1180.7776335010171</v>
      </c>
      <c r="AF122" s="27">
        <f>(1/(2*LOG(3.7*$I122/'Calculation Constants'!$B$4*1000)))^2</f>
        <v>1.1152845500629007E-2</v>
      </c>
      <c r="AG122" s="19">
        <f t="shared" si="39"/>
        <v>0.59621735446906032</v>
      </c>
      <c r="AH122" s="19">
        <f>IF($H122&gt;0,'Calculation Constants'!$B$9*Hydraulics!$K122^2/2/9.81/MAX($F$4:$F$263)*$H122,"")</f>
        <v>3.3925755153643114E-2</v>
      </c>
      <c r="AI122" s="19">
        <f t="shared" si="49"/>
        <v>0.63014310962270348</v>
      </c>
      <c r="AJ122" s="19">
        <f t="shared" si="40"/>
        <v>0</v>
      </c>
      <c r="AK122" s="19">
        <f t="shared" si="50"/>
        <v>261.68428445188681</v>
      </c>
      <c r="AL122" s="23">
        <f t="shared" si="41"/>
        <v>1180.3332844518868</v>
      </c>
      <c r="AM122" s="22">
        <f>(1/(2*LOG(3.7*($I122-0.008)/'Calculation Constants'!$B$5*1000)))^2</f>
        <v>1.4104604303736145E-2</v>
      </c>
      <c r="AN122" s="19">
        <f t="shared" si="51"/>
        <v>0.75676661531854661</v>
      </c>
      <c r="AO122" s="19">
        <f>IF($H122&gt;0,'Calculation Constants'!$B$9*Hydraulics!$K122^2/2/9.81/MAX($F$4:$F$263)*$H122,"")</f>
        <v>3.3925755153643114E-2</v>
      </c>
      <c r="AP122" s="19">
        <f t="shared" si="52"/>
        <v>0.79069237047218976</v>
      </c>
      <c r="AQ122" s="19">
        <f t="shared" si="42"/>
        <v>0</v>
      </c>
      <c r="AR122" s="19">
        <f t="shared" si="53"/>
        <v>260.88153814763871</v>
      </c>
      <c r="AS122" s="23">
        <f t="shared" si="43"/>
        <v>1179.5305381476387</v>
      </c>
    </row>
    <row r="123" spans="5:45">
      <c r="E123" s="35" t="str">
        <f t="shared" si="29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4"/>
        <v>2</v>
      </c>
      <c r="I123" s="19">
        <v>2.2000000000000002</v>
      </c>
      <c r="J123" s="36">
        <f>'Flow Rate Calculations'!$B$7</f>
        <v>4.0831050228310497</v>
      </c>
      <c r="K123" s="36">
        <f t="shared" si="44"/>
        <v>1.0741261942924094</v>
      </c>
      <c r="L123" s="37">
        <f>$I123*$K123/'Calculation Constants'!$B$7</f>
        <v>2091219.139330355</v>
      </c>
      <c r="M123" s="37" t="str">
        <f t="shared" si="30"/>
        <v>Greater Dynamic Pressures</v>
      </c>
      <c r="N123" s="23">
        <f t="shared" si="45"/>
        <v>257.59031679844759</v>
      </c>
      <c r="O123" s="57">
        <f t="shared" si="31"/>
        <v>257.26236020122053</v>
      </c>
      <c r="P123" s="66">
        <f>MAX(I123*1000/'Calculation Constants'!$B$14,O123*10*I123*1000/2/('Calculation Constants'!$B$12*1000*'Calculation Constants'!$B$13))</f>
        <v>18.865906414756171</v>
      </c>
      <c r="Q123" s="68">
        <f t="shared" si="32"/>
        <v>2029595.8546587869</v>
      </c>
      <c r="R123" s="27">
        <f>(1/(2*LOG(3.7*$I123/'Calculation Constants'!$B$2*1000)))^2</f>
        <v>8.4679866037394684E-3</v>
      </c>
      <c r="S123" s="19">
        <f t="shared" si="46"/>
        <v>0.45268811177167712</v>
      </c>
      <c r="T123" s="19">
        <f>IF($H123&gt;0,'Calculation Constants'!$B$9*Hydraulics!$K123^2/2/9.81/MAX($F$4:$F$263)*$H123,"")</f>
        <v>3.3925755153643114E-2</v>
      </c>
      <c r="U123" s="19">
        <f t="shared" si="47"/>
        <v>0.48661386692532022</v>
      </c>
      <c r="V123" s="19">
        <f t="shared" si="33"/>
        <v>0</v>
      </c>
      <c r="W123" s="19">
        <f t="shared" si="34"/>
        <v>257.59031679844759</v>
      </c>
      <c r="X123" s="23">
        <f t="shared" si="35"/>
        <v>1180.5643167984476</v>
      </c>
      <c r="Y123" s="22">
        <f>(1/(2*LOG(3.7*$I123/'Calculation Constants'!$B$3*1000)))^2</f>
        <v>9.4904462912918219E-3</v>
      </c>
      <c r="Z123" s="19">
        <f t="shared" si="36"/>
        <v>0.50734754464280807</v>
      </c>
      <c r="AA123" s="19">
        <f>IF($H123&gt;0,'Calculation Constants'!$B$9*Hydraulics!$K123^2/2/9.81/MAX($F$4:$F$263)*$H123,"")</f>
        <v>3.3925755153643114E-2</v>
      </c>
      <c r="AB123" s="19">
        <f t="shared" si="55"/>
        <v>0.54127329979645122</v>
      </c>
      <c r="AC123" s="19">
        <f t="shared" si="37"/>
        <v>0</v>
      </c>
      <c r="AD123" s="19">
        <f t="shared" si="48"/>
        <v>257.26236020122053</v>
      </c>
      <c r="AE123" s="23">
        <f t="shared" si="38"/>
        <v>1180.2363602012206</v>
      </c>
      <c r="AF123" s="27">
        <f>(1/(2*LOG(3.7*$I123/'Calculation Constants'!$B$4*1000)))^2</f>
        <v>1.1152845500629007E-2</v>
      </c>
      <c r="AG123" s="19">
        <f t="shared" si="39"/>
        <v>0.59621735446906032</v>
      </c>
      <c r="AH123" s="19">
        <f>IF($H123&gt;0,'Calculation Constants'!$B$9*Hydraulics!$K123^2/2/9.81/MAX($F$4:$F$263)*$H123,"")</f>
        <v>3.3925755153643114E-2</v>
      </c>
      <c r="AI123" s="19">
        <f t="shared" si="49"/>
        <v>0.63014310962270348</v>
      </c>
      <c r="AJ123" s="19">
        <f t="shared" si="40"/>
        <v>0</v>
      </c>
      <c r="AK123" s="19">
        <f t="shared" si="50"/>
        <v>256.72914134226414</v>
      </c>
      <c r="AL123" s="23">
        <f t="shared" si="41"/>
        <v>1179.7031413422642</v>
      </c>
      <c r="AM123" s="22">
        <f>(1/(2*LOG(3.7*($I123-0.008)/'Calculation Constants'!$B$5*1000)))^2</f>
        <v>1.4104604303736145E-2</v>
      </c>
      <c r="AN123" s="19">
        <f t="shared" si="51"/>
        <v>0.75676661531854661</v>
      </c>
      <c r="AO123" s="19">
        <f>IF($H123&gt;0,'Calculation Constants'!$B$9*Hydraulics!$K123^2/2/9.81/MAX($F$4:$F$263)*$H123,"")</f>
        <v>3.3925755153643114E-2</v>
      </c>
      <c r="AP123" s="19">
        <f t="shared" si="52"/>
        <v>0.79069237047218976</v>
      </c>
      <c r="AQ123" s="19">
        <f t="shared" si="42"/>
        <v>0</v>
      </c>
      <c r="AR123" s="19">
        <f t="shared" si="53"/>
        <v>255.76584577716642</v>
      </c>
      <c r="AS123" s="23">
        <f t="shared" si="43"/>
        <v>1178.7398457771665</v>
      </c>
    </row>
    <row r="124" spans="5:45">
      <c r="E124" s="35" t="str">
        <f t="shared" si="29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4"/>
        <v>2</v>
      </c>
      <c r="I124" s="19">
        <v>2.2000000000000002</v>
      </c>
      <c r="J124" s="36">
        <f>'Flow Rate Calculations'!$B$7</f>
        <v>4.0831050228310497</v>
      </c>
      <c r="K124" s="36">
        <f t="shared" si="44"/>
        <v>1.0741261942924094</v>
      </c>
      <c r="L124" s="37">
        <f>$I124*$K124/'Calculation Constants'!$B$7</f>
        <v>2091219.139330355</v>
      </c>
      <c r="M124" s="37" t="str">
        <f t="shared" si="30"/>
        <v>Greater Dynamic Pressures</v>
      </c>
      <c r="N124" s="23">
        <f t="shared" si="45"/>
        <v>252.70270293152225</v>
      </c>
      <c r="O124" s="57">
        <f t="shared" si="31"/>
        <v>252.32008690142402</v>
      </c>
      <c r="P124" s="66">
        <f>MAX(I124*1000/'Calculation Constants'!$B$14,O124*10*I124*1000/2/('Calculation Constants'!$B$12*1000*'Calculation Constants'!$B$13))</f>
        <v>18.503473039437761</v>
      </c>
      <c r="Q124" s="68">
        <f t="shared" si="32"/>
        <v>1990936.0142784945</v>
      </c>
      <c r="R124" s="27">
        <f>(1/(2*LOG(3.7*$I124/'Calculation Constants'!$B$2*1000)))^2</f>
        <v>8.4679866037394684E-3</v>
      </c>
      <c r="S124" s="19">
        <f t="shared" si="46"/>
        <v>0.45268811177167712</v>
      </c>
      <c r="T124" s="19">
        <f>IF($H124&gt;0,'Calculation Constants'!$B$9*Hydraulics!$K124^2/2/9.81/MAX($F$4:$F$263)*$H124,"")</f>
        <v>3.3925755153643114E-2</v>
      </c>
      <c r="U124" s="19">
        <f t="shared" si="47"/>
        <v>0.48661386692532022</v>
      </c>
      <c r="V124" s="19">
        <f t="shared" si="33"/>
        <v>0</v>
      </c>
      <c r="W124" s="19">
        <f t="shared" si="34"/>
        <v>252.70270293152225</v>
      </c>
      <c r="X124" s="23">
        <f t="shared" si="35"/>
        <v>1180.0777029315223</v>
      </c>
      <c r="Y124" s="22">
        <f>(1/(2*LOG(3.7*$I124/'Calculation Constants'!$B$3*1000)))^2</f>
        <v>9.4904462912918219E-3</v>
      </c>
      <c r="Z124" s="19">
        <f t="shared" si="36"/>
        <v>0.50734754464280807</v>
      </c>
      <c r="AA124" s="19">
        <f>IF($H124&gt;0,'Calculation Constants'!$B$9*Hydraulics!$K124^2/2/9.81/MAX($F$4:$F$263)*$H124,"")</f>
        <v>3.3925755153643114E-2</v>
      </c>
      <c r="AB124" s="19">
        <f t="shared" si="55"/>
        <v>0.54127329979645122</v>
      </c>
      <c r="AC124" s="19">
        <f t="shared" si="37"/>
        <v>0</v>
      </c>
      <c r="AD124" s="19">
        <f t="shared" si="48"/>
        <v>252.32008690142402</v>
      </c>
      <c r="AE124" s="23">
        <f t="shared" si="38"/>
        <v>1179.695086901424</v>
      </c>
      <c r="AF124" s="27">
        <f>(1/(2*LOG(3.7*$I124/'Calculation Constants'!$B$4*1000)))^2</f>
        <v>1.1152845500629007E-2</v>
      </c>
      <c r="AG124" s="19">
        <f t="shared" si="39"/>
        <v>0.59621735446906032</v>
      </c>
      <c r="AH124" s="19">
        <f>IF($H124&gt;0,'Calculation Constants'!$B$9*Hydraulics!$K124^2/2/9.81/MAX($F$4:$F$263)*$H124,"")</f>
        <v>3.3925755153643114E-2</v>
      </c>
      <c r="AI124" s="19">
        <f t="shared" si="49"/>
        <v>0.63014310962270348</v>
      </c>
      <c r="AJ124" s="19">
        <f t="shared" si="40"/>
        <v>0</v>
      </c>
      <c r="AK124" s="19">
        <f t="shared" si="50"/>
        <v>251.69799823264157</v>
      </c>
      <c r="AL124" s="23">
        <f t="shared" si="41"/>
        <v>1179.0729982326416</v>
      </c>
      <c r="AM124" s="22">
        <f>(1/(2*LOG(3.7*($I124-0.008)/'Calculation Constants'!$B$5*1000)))^2</f>
        <v>1.4104604303736145E-2</v>
      </c>
      <c r="AN124" s="19">
        <f t="shared" si="51"/>
        <v>0.75676661531854661</v>
      </c>
      <c r="AO124" s="19">
        <f>IF($H124&gt;0,'Calculation Constants'!$B$9*Hydraulics!$K124^2/2/9.81/MAX($F$4:$F$263)*$H124,"")</f>
        <v>3.3925755153643114E-2</v>
      </c>
      <c r="AP124" s="19">
        <f t="shared" si="52"/>
        <v>0.79069237047218976</v>
      </c>
      <c r="AQ124" s="19">
        <f t="shared" si="42"/>
        <v>0</v>
      </c>
      <c r="AR124" s="19">
        <f t="shared" si="53"/>
        <v>250.57415340669422</v>
      </c>
      <c r="AS124" s="23">
        <f t="shared" si="43"/>
        <v>1177.9491534066942</v>
      </c>
    </row>
    <row r="125" spans="5:45">
      <c r="E125" s="35" t="str">
        <f t="shared" si="29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4"/>
        <v>2</v>
      </c>
      <c r="I125" s="19">
        <v>2.2000000000000002</v>
      </c>
      <c r="J125" s="36">
        <f>'Flow Rate Calculations'!$B$7</f>
        <v>4.0831050228310497</v>
      </c>
      <c r="K125" s="36">
        <f t="shared" si="44"/>
        <v>1.0741261942924094</v>
      </c>
      <c r="L125" s="37">
        <f>$I125*$K125/'Calculation Constants'!$B$7</f>
        <v>2091219.139330355</v>
      </c>
      <c r="M125" s="37" t="str">
        <f t="shared" si="30"/>
        <v>Greater Dynamic Pressures</v>
      </c>
      <c r="N125" s="23">
        <f t="shared" si="45"/>
        <v>250.33808906459683</v>
      </c>
      <c r="O125" s="57">
        <f t="shared" si="31"/>
        <v>249.90081360162742</v>
      </c>
      <c r="P125" s="66">
        <f>MAX(I125*1000/'Calculation Constants'!$B$14,O125*10*I125*1000/2/('Calculation Constants'!$B$12*1000*'Calculation Constants'!$B$13))</f>
        <v>18.326059664119345</v>
      </c>
      <c r="Q125" s="68">
        <f t="shared" si="32"/>
        <v>1972007.0597181583</v>
      </c>
      <c r="R125" s="27">
        <f>(1/(2*LOG(3.7*$I125/'Calculation Constants'!$B$2*1000)))^2</f>
        <v>8.4679866037394684E-3</v>
      </c>
      <c r="S125" s="19">
        <f t="shared" si="46"/>
        <v>0.45268811177167712</v>
      </c>
      <c r="T125" s="19">
        <f>IF($H125&gt;0,'Calculation Constants'!$B$9*Hydraulics!$K125^2/2/9.81/MAX($F$4:$F$263)*$H125,"")</f>
        <v>3.3925755153643114E-2</v>
      </c>
      <c r="U125" s="19">
        <f t="shared" si="47"/>
        <v>0.48661386692532022</v>
      </c>
      <c r="V125" s="19">
        <f t="shared" si="33"/>
        <v>0</v>
      </c>
      <c r="W125" s="19">
        <f t="shared" si="34"/>
        <v>250.33808906459683</v>
      </c>
      <c r="X125" s="23">
        <f t="shared" si="35"/>
        <v>1179.5910890645969</v>
      </c>
      <c r="Y125" s="22">
        <f>(1/(2*LOG(3.7*$I125/'Calculation Constants'!$B$3*1000)))^2</f>
        <v>9.4904462912918219E-3</v>
      </c>
      <c r="Z125" s="19">
        <f t="shared" si="36"/>
        <v>0.50734754464280807</v>
      </c>
      <c r="AA125" s="19">
        <f>IF($H125&gt;0,'Calculation Constants'!$B$9*Hydraulics!$K125^2/2/9.81/MAX($F$4:$F$263)*$H125,"")</f>
        <v>3.3925755153643114E-2</v>
      </c>
      <c r="AB125" s="19">
        <f t="shared" si="55"/>
        <v>0.54127329979645122</v>
      </c>
      <c r="AC125" s="19">
        <f t="shared" si="37"/>
        <v>0</v>
      </c>
      <c r="AD125" s="19">
        <f t="shared" si="48"/>
        <v>249.90081360162742</v>
      </c>
      <c r="AE125" s="23">
        <f t="shared" si="38"/>
        <v>1179.1538136016275</v>
      </c>
      <c r="AF125" s="27">
        <f>(1/(2*LOG(3.7*$I125/'Calculation Constants'!$B$4*1000)))^2</f>
        <v>1.1152845500629007E-2</v>
      </c>
      <c r="AG125" s="19">
        <f t="shared" si="39"/>
        <v>0.59621735446906032</v>
      </c>
      <c r="AH125" s="19">
        <f>IF($H125&gt;0,'Calculation Constants'!$B$9*Hydraulics!$K125^2/2/9.81/MAX($F$4:$F$263)*$H125,"")</f>
        <v>3.3925755153643114E-2</v>
      </c>
      <c r="AI125" s="19">
        <f t="shared" si="49"/>
        <v>0.63014310962270348</v>
      </c>
      <c r="AJ125" s="19">
        <f t="shared" si="40"/>
        <v>0</v>
      </c>
      <c r="AK125" s="19">
        <f t="shared" si="50"/>
        <v>249.1898551230189</v>
      </c>
      <c r="AL125" s="23">
        <f t="shared" si="41"/>
        <v>1178.4428551230189</v>
      </c>
      <c r="AM125" s="22">
        <f>(1/(2*LOG(3.7*($I125-0.008)/'Calculation Constants'!$B$5*1000)))^2</f>
        <v>1.4104604303736145E-2</v>
      </c>
      <c r="AN125" s="19">
        <f t="shared" si="51"/>
        <v>0.75676661531854661</v>
      </c>
      <c r="AO125" s="19">
        <f>IF($H125&gt;0,'Calculation Constants'!$B$9*Hydraulics!$K125^2/2/9.81/MAX($F$4:$F$263)*$H125,"")</f>
        <v>3.3925755153643114E-2</v>
      </c>
      <c r="AP125" s="19">
        <f t="shared" si="52"/>
        <v>0.79069237047218976</v>
      </c>
      <c r="AQ125" s="19">
        <f t="shared" si="42"/>
        <v>0</v>
      </c>
      <c r="AR125" s="19">
        <f t="shared" si="53"/>
        <v>247.90546103622194</v>
      </c>
      <c r="AS125" s="23">
        <f t="shared" si="43"/>
        <v>1177.158461036222</v>
      </c>
    </row>
    <row r="126" spans="5:45">
      <c r="E126" s="35" t="str">
        <f t="shared" si="29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4"/>
        <v>2</v>
      </c>
      <c r="I126" s="19">
        <v>2.2000000000000002</v>
      </c>
      <c r="J126" s="36">
        <f>'Flow Rate Calculations'!$B$7</f>
        <v>4.0831050228310497</v>
      </c>
      <c r="K126" s="36">
        <f t="shared" si="44"/>
        <v>1.0741261942924094</v>
      </c>
      <c r="L126" s="37">
        <f>$I126*$K126/'Calculation Constants'!$B$7</f>
        <v>2091219.139330355</v>
      </c>
      <c r="M126" s="37" t="str">
        <f t="shared" si="30"/>
        <v>Greater Dynamic Pressures</v>
      </c>
      <c r="N126" s="23">
        <f t="shared" si="45"/>
        <v>248.24147519767143</v>
      </c>
      <c r="O126" s="57">
        <f t="shared" si="31"/>
        <v>247.74954030183085</v>
      </c>
      <c r="P126" s="66">
        <f>MAX(I126*1000/'Calculation Constants'!$B$14,O126*10*I126*1000/2/('Calculation Constants'!$B$12*1000*'Calculation Constants'!$B$13))</f>
        <v>18.168299622134263</v>
      </c>
      <c r="Q126" s="68">
        <f t="shared" si="32"/>
        <v>1955172.3911709224</v>
      </c>
      <c r="R126" s="27">
        <f>(1/(2*LOG(3.7*$I126/'Calculation Constants'!$B$2*1000)))^2</f>
        <v>8.4679866037394684E-3</v>
      </c>
      <c r="S126" s="19">
        <f t="shared" si="46"/>
        <v>0.45268811177167712</v>
      </c>
      <c r="T126" s="19">
        <f>IF($H126&gt;0,'Calculation Constants'!$B$9*Hydraulics!$K126^2/2/9.81/MAX($F$4:$F$263)*$H126,"")</f>
        <v>3.3925755153643114E-2</v>
      </c>
      <c r="U126" s="19">
        <f t="shared" si="47"/>
        <v>0.48661386692532022</v>
      </c>
      <c r="V126" s="19">
        <f t="shared" si="33"/>
        <v>0</v>
      </c>
      <c r="W126" s="19">
        <f t="shared" si="34"/>
        <v>248.24147519767143</v>
      </c>
      <c r="X126" s="23">
        <f t="shared" si="35"/>
        <v>1179.1044751976715</v>
      </c>
      <c r="Y126" s="22">
        <f>(1/(2*LOG(3.7*$I126/'Calculation Constants'!$B$3*1000)))^2</f>
        <v>9.4904462912918219E-3</v>
      </c>
      <c r="Z126" s="19">
        <f t="shared" si="36"/>
        <v>0.50734754464280807</v>
      </c>
      <c r="AA126" s="19">
        <f>IF($H126&gt;0,'Calculation Constants'!$B$9*Hydraulics!$K126^2/2/9.81/MAX($F$4:$F$263)*$H126,"")</f>
        <v>3.3925755153643114E-2</v>
      </c>
      <c r="AB126" s="19">
        <f t="shared" si="55"/>
        <v>0.54127329979645122</v>
      </c>
      <c r="AC126" s="19">
        <f t="shared" si="37"/>
        <v>0</v>
      </c>
      <c r="AD126" s="19">
        <f t="shared" si="48"/>
        <v>247.74954030183085</v>
      </c>
      <c r="AE126" s="23">
        <f t="shared" si="38"/>
        <v>1178.6125403018309</v>
      </c>
      <c r="AF126" s="27">
        <f>(1/(2*LOG(3.7*$I126/'Calculation Constants'!$B$4*1000)))^2</f>
        <v>1.1152845500629007E-2</v>
      </c>
      <c r="AG126" s="19">
        <f t="shared" si="39"/>
        <v>0.59621735446906032</v>
      </c>
      <c r="AH126" s="19">
        <f>IF($H126&gt;0,'Calculation Constants'!$B$9*Hydraulics!$K126^2/2/9.81/MAX($F$4:$F$263)*$H126,"")</f>
        <v>3.3925755153643114E-2</v>
      </c>
      <c r="AI126" s="19">
        <f t="shared" si="49"/>
        <v>0.63014310962270348</v>
      </c>
      <c r="AJ126" s="19">
        <f t="shared" si="40"/>
        <v>0</v>
      </c>
      <c r="AK126" s="19">
        <f t="shared" si="50"/>
        <v>246.94971201339627</v>
      </c>
      <c r="AL126" s="23">
        <f t="shared" si="41"/>
        <v>1177.8127120133963</v>
      </c>
      <c r="AM126" s="22">
        <f>(1/(2*LOG(3.7*($I126-0.008)/'Calculation Constants'!$B$5*1000)))^2</f>
        <v>1.4104604303736145E-2</v>
      </c>
      <c r="AN126" s="19">
        <f t="shared" si="51"/>
        <v>0.75676661531854661</v>
      </c>
      <c r="AO126" s="19">
        <f>IF($H126&gt;0,'Calculation Constants'!$B$9*Hydraulics!$K126^2/2/9.81/MAX($F$4:$F$263)*$H126,"")</f>
        <v>3.3925755153643114E-2</v>
      </c>
      <c r="AP126" s="19">
        <f t="shared" si="52"/>
        <v>0.79069237047218976</v>
      </c>
      <c r="AQ126" s="19">
        <f t="shared" si="42"/>
        <v>0</v>
      </c>
      <c r="AR126" s="19">
        <f t="shared" si="53"/>
        <v>245.50476866574968</v>
      </c>
      <c r="AS126" s="23">
        <f t="shared" si="43"/>
        <v>1176.3677686657497</v>
      </c>
    </row>
    <row r="127" spans="5:45">
      <c r="E127" s="35" t="str">
        <f t="shared" si="29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4"/>
        <v>2</v>
      </c>
      <c r="I127" s="19">
        <v>2.2000000000000002</v>
      </c>
      <c r="J127" s="36">
        <f>'Flow Rate Calculations'!$B$7</f>
        <v>4.0831050228310497</v>
      </c>
      <c r="K127" s="36">
        <f t="shared" si="44"/>
        <v>1.0741261942924094</v>
      </c>
      <c r="L127" s="37">
        <f>$I127*$K127/'Calculation Constants'!$B$7</f>
        <v>2091219.139330355</v>
      </c>
      <c r="M127" s="37" t="str">
        <f t="shared" si="30"/>
        <v>Greater Dynamic Pressures</v>
      </c>
      <c r="N127" s="23">
        <f t="shared" si="45"/>
        <v>246.69386133074613</v>
      </c>
      <c r="O127" s="57">
        <f t="shared" si="31"/>
        <v>246.14726700203437</v>
      </c>
      <c r="P127" s="66">
        <f>MAX(I127*1000/'Calculation Constants'!$B$14,O127*10*I127*1000/2/('Calculation Constants'!$B$12*1000*'Calculation Constants'!$B$13))</f>
        <v>18.050799580149189</v>
      </c>
      <c r="Q127" s="68">
        <f t="shared" si="32"/>
        <v>1942632.2960740016</v>
      </c>
      <c r="R127" s="27">
        <f>(1/(2*LOG(3.7*$I127/'Calculation Constants'!$B$2*1000)))^2</f>
        <v>8.4679866037394684E-3</v>
      </c>
      <c r="S127" s="19">
        <f t="shared" si="46"/>
        <v>0.45268811177167712</v>
      </c>
      <c r="T127" s="19">
        <f>IF($H127&gt;0,'Calculation Constants'!$B$9*Hydraulics!$K127^2/2/9.81/MAX($F$4:$F$263)*$H127,"")</f>
        <v>3.3925755153643114E-2</v>
      </c>
      <c r="U127" s="19">
        <f t="shared" si="47"/>
        <v>0.48661386692532022</v>
      </c>
      <c r="V127" s="19">
        <f t="shared" si="33"/>
        <v>0</v>
      </c>
      <c r="W127" s="19">
        <f t="shared" si="34"/>
        <v>246.69386133074613</v>
      </c>
      <c r="X127" s="23">
        <f t="shared" si="35"/>
        <v>1178.6178613307461</v>
      </c>
      <c r="Y127" s="22">
        <f>(1/(2*LOG(3.7*$I127/'Calculation Constants'!$B$3*1000)))^2</f>
        <v>9.4904462912918219E-3</v>
      </c>
      <c r="Z127" s="19">
        <f t="shared" si="36"/>
        <v>0.50734754464280807</v>
      </c>
      <c r="AA127" s="19">
        <f>IF($H127&gt;0,'Calculation Constants'!$B$9*Hydraulics!$K127^2/2/9.81/MAX($F$4:$F$263)*$H127,"")</f>
        <v>3.3925755153643114E-2</v>
      </c>
      <c r="AB127" s="19">
        <f t="shared" si="55"/>
        <v>0.54127329979645122</v>
      </c>
      <c r="AC127" s="19">
        <f t="shared" si="37"/>
        <v>0</v>
      </c>
      <c r="AD127" s="19">
        <f t="shared" si="48"/>
        <v>246.14726700203437</v>
      </c>
      <c r="AE127" s="23">
        <f t="shared" si="38"/>
        <v>1178.0712670020343</v>
      </c>
      <c r="AF127" s="27">
        <f>(1/(2*LOG(3.7*$I127/'Calculation Constants'!$B$4*1000)))^2</f>
        <v>1.1152845500629007E-2</v>
      </c>
      <c r="AG127" s="19">
        <f t="shared" si="39"/>
        <v>0.59621735446906032</v>
      </c>
      <c r="AH127" s="19">
        <f>IF($H127&gt;0,'Calculation Constants'!$B$9*Hydraulics!$K127^2/2/9.81/MAX($F$4:$F$263)*$H127,"")</f>
        <v>3.3925755153643114E-2</v>
      </c>
      <c r="AI127" s="19">
        <f t="shared" si="49"/>
        <v>0.63014310962270348</v>
      </c>
      <c r="AJ127" s="19">
        <f t="shared" si="40"/>
        <v>0</v>
      </c>
      <c r="AK127" s="19">
        <f t="shared" si="50"/>
        <v>245.25856890377372</v>
      </c>
      <c r="AL127" s="23">
        <f t="shared" si="41"/>
        <v>1177.1825689037737</v>
      </c>
      <c r="AM127" s="22">
        <f>(1/(2*LOG(3.7*($I127-0.008)/'Calculation Constants'!$B$5*1000)))^2</f>
        <v>1.4104604303736145E-2</v>
      </c>
      <c r="AN127" s="19">
        <f t="shared" si="51"/>
        <v>0.75676661531854661</v>
      </c>
      <c r="AO127" s="19">
        <f>IF($H127&gt;0,'Calculation Constants'!$B$9*Hydraulics!$K127^2/2/9.81/MAX($F$4:$F$263)*$H127,"")</f>
        <v>3.3925755153643114E-2</v>
      </c>
      <c r="AP127" s="19">
        <f t="shared" si="52"/>
        <v>0.79069237047218976</v>
      </c>
      <c r="AQ127" s="19">
        <f t="shared" si="42"/>
        <v>0</v>
      </c>
      <c r="AR127" s="19">
        <f t="shared" si="53"/>
        <v>243.65307629527751</v>
      </c>
      <c r="AS127" s="23">
        <f t="shared" si="43"/>
        <v>1175.5770762952775</v>
      </c>
    </row>
    <row r="128" spans="5:45">
      <c r="E128" s="35" t="str">
        <f t="shared" si="29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4"/>
        <v>2</v>
      </c>
      <c r="I128" s="19">
        <v>2.2000000000000002</v>
      </c>
      <c r="J128" s="36">
        <f>'Flow Rate Calculations'!$B$7</f>
        <v>4.0831050228310497</v>
      </c>
      <c r="K128" s="36">
        <f t="shared" si="44"/>
        <v>1.0741261942924094</v>
      </c>
      <c r="L128" s="37">
        <f>$I128*$K128/'Calculation Constants'!$B$7</f>
        <v>2091219.139330355</v>
      </c>
      <c r="M128" s="37" t="str">
        <f t="shared" si="30"/>
        <v>Greater Dynamic Pressures</v>
      </c>
      <c r="N128" s="23">
        <f t="shared" si="45"/>
        <v>241.40924746382075</v>
      </c>
      <c r="O128" s="57">
        <f t="shared" si="31"/>
        <v>240.80799370223781</v>
      </c>
      <c r="P128" s="66">
        <f>MAX(I128*1000/'Calculation Constants'!$B$14,O128*10*I128*1000/2/('Calculation Constants'!$B$12*1000*'Calculation Constants'!$B$13))</f>
        <v>17.65925287149744</v>
      </c>
      <c r="Q128" s="68">
        <f t="shared" si="32"/>
        <v>1900834.9655972931</v>
      </c>
      <c r="R128" s="27">
        <f>(1/(2*LOG(3.7*$I128/'Calculation Constants'!$B$2*1000)))^2</f>
        <v>8.4679866037394684E-3</v>
      </c>
      <c r="S128" s="19">
        <f t="shared" si="46"/>
        <v>0.45268811177167712</v>
      </c>
      <c r="T128" s="19">
        <f>IF($H128&gt;0,'Calculation Constants'!$B$9*Hydraulics!$K128^2/2/9.81/MAX($F$4:$F$263)*$H128,"")</f>
        <v>3.3925755153643114E-2</v>
      </c>
      <c r="U128" s="19">
        <f t="shared" si="47"/>
        <v>0.48661386692532022</v>
      </c>
      <c r="V128" s="19">
        <f t="shared" si="33"/>
        <v>0</v>
      </c>
      <c r="W128" s="19">
        <f t="shared" si="34"/>
        <v>241.40924746382075</v>
      </c>
      <c r="X128" s="23">
        <f t="shared" si="35"/>
        <v>1178.1312474638207</v>
      </c>
      <c r="Y128" s="22">
        <f>(1/(2*LOG(3.7*$I128/'Calculation Constants'!$B$3*1000)))^2</f>
        <v>9.4904462912918219E-3</v>
      </c>
      <c r="Z128" s="19">
        <f t="shared" si="36"/>
        <v>0.50734754464280807</v>
      </c>
      <c r="AA128" s="19">
        <f>IF($H128&gt;0,'Calculation Constants'!$B$9*Hydraulics!$K128^2/2/9.81/MAX($F$4:$F$263)*$H128,"")</f>
        <v>3.3925755153643114E-2</v>
      </c>
      <c r="AB128" s="19">
        <f t="shared" si="55"/>
        <v>0.54127329979645122</v>
      </c>
      <c r="AC128" s="19">
        <f t="shared" si="37"/>
        <v>0</v>
      </c>
      <c r="AD128" s="19">
        <f t="shared" si="48"/>
        <v>240.80799370223781</v>
      </c>
      <c r="AE128" s="23">
        <f t="shared" si="38"/>
        <v>1177.5299937022378</v>
      </c>
      <c r="AF128" s="27">
        <f>(1/(2*LOG(3.7*$I128/'Calculation Constants'!$B$4*1000)))^2</f>
        <v>1.1152845500629007E-2</v>
      </c>
      <c r="AG128" s="19">
        <f t="shared" si="39"/>
        <v>0.59621735446906032</v>
      </c>
      <c r="AH128" s="19">
        <f>IF($H128&gt;0,'Calculation Constants'!$B$9*Hydraulics!$K128^2/2/9.81/MAX($F$4:$F$263)*$H128,"")</f>
        <v>3.3925755153643114E-2</v>
      </c>
      <c r="AI128" s="19">
        <f t="shared" si="49"/>
        <v>0.63014310962270348</v>
      </c>
      <c r="AJ128" s="19">
        <f t="shared" si="40"/>
        <v>0</v>
      </c>
      <c r="AK128" s="19">
        <f t="shared" si="50"/>
        <v>239.8304257941511</v>
      </c>
      <c r="AL128" s="23">
        <f t="shared" si="41"/>
        <v>1176.5524257941511</v>
      </c>
      <c r="AM128" s="22">
        <f>(1/(2*LOG(3.7*($I128-0.008)/'Calculation Constants'!$B$5*1000)))^2</f>
        <v>1.4104604303736145E-2</v>
      </c>
      <c r="AN128" s="19">
        <f t="shared" si="51"/>
        <v>0.75676661531854661</v>
      </c>
      <c r="AO128" s="19">
        <f>IF($H128&gt;0,'Calculation Constants'!$B$9*Hydraulics!$K128^2/2/9.81/MAX($F$4:$F$263)*$H128,"")</f>
        <v>3.3925755153643114E-2</v>
      </c>
      <c r="AP128" s="19">
        <f t="shared" si="52"/>
        <v>0.79069237047218976</v>
      </c>
      <c r="AQ128" s="19">
        <f t="shared" si="42"/>
        <v>0</v>
      </c>
      <c r="AR128" s="19">
        <f t="shared" si="53"/>
        <v>238.06438392480527</v>
      </c>
      <c r="AS128" s="23">
        <f t="shared" si="43"/>
        <v>1174.7863839248052</v>
      </c>
    </row>
    <row r="129" spans="5:45">
      <c r="E129" s="35" t="str">
        <f t="shared" si="29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4"/>
        <v>2</v>
      </c>
      <c r="I129" s="19">
        <v>2.2000000000000002</v>
      </c>
      <c r="J129" s="36">
        <f>'Flow Rate Calculations'!$B$7</f>
        <v>4.0831050228310497</v>
      </c>
      <c r="K129" s="36">
        <f t="shared" si="44"/>
        <v>1.0741261942924094</v>
      </c>
      <c r="L129" s="37">
        <f>$I129*$K129/'Calculation Constants'!$B$7</f>
        <v>2091219.139330355</v>
      </c>
      <c r="M129" s="37" t="str">
        <f t="shared" si="30"/>
        <v>Greater Dynamic Pressures</v>
      </c>
      <c r="N129" s="23">
        <f t="shared" si="45"/>
        <v>235.8676335968953</v>
      </c>
      <c r="O129" s="57">
        <f t="shared" si="31"/>
        <v>235.21172040244119</v>
      </c>
      <c r="P129" s="66">
        <f>MAX(I129*1000/'Calculation Constants'!$B$14,O129*10*I129*1000/2/('Calculation Constants'!$B$12*1000*'Calculation Constants'!$B$13))</f>
        <v>17.248859496179023</v>
      </c>
      <c r="Q129" s="68">
        <f t="shared" si="32"/>
        <v>1857009.5342253863</v>
      </c>
      <c r="R129" s="27">
        <f>(1/(2*LOG(3.7*$I129/'Calculation Constants'!$B$2*1000)))^2</f>
        <v>8.4679866037394684E-3</v>
      </c>
      <c r="S129" s="19">
        <f t="shared" si="46"/>
        <v>0.45268811177167712</v>
      </c>
      <c r="T129" s="19">
        <f>IF($H129&gt;0,'Calculation Constants'!$B$9*Hydraulics!$K129^2/2/9.81/MAX($F$4:$F$263)*$H129,"")</f>
        <v>3.3925755153643114E-2</v>
      </c>
      <c r="U129" s="19">
        <f t="shared" si="47"/>
        <v>0.48661386692532022</v>
      </c>
      <c r="V129" s="19">
        <f t="shared" si="33"/>
        <v>0</v>
      </c>
      <c r="W129" s="19">
        <f t="shared" si="34"/>
        <v>235.8676335968953</v>
      </c>
      <c r="X129" s="23">
        <f t="shared" si="35"/>
        <v>1177.6446335968953</v>
      </c>
      <c r="Y129" s="22">
        <f>(1/(2*LOG(3.7*$I129/'Calculation Constants'!$B$3*1000)))^2</f>
        <v>9.4904462912918219E-3</v>
      </c>
      <c r="Z129" s="19">
        <f t="shared" si="36"/>
        <v>0.50734754464280807</v>
      </c>
      <c r="AA129" s="19">
        <f>IF($H129&gt;0,'Calculation Constants'!$B$9*Hydraulics!$K129^2/2/9.81/MAX($F$4:$F$263)*$H129,"")</f>
        <v>3.3925755153643114E-2</v>
      </c>
      <c r="AB129" s="19">
        <f t="shared" si="55"/>
        <v>0.54127329979645122</v>
      </c>
      <c r="AC129" s="19">
        <f t="shared" si="37"/>
        <v>0</v>
      </c>
      <c r="AD129" s="19">
        <f t="shared" si="48"/>
        <v>235.21172040244119</v>
      </c>
      <c r="AE129" s="23">
        <f t="shared" si="38"/>
        <v>1176.9887204024412</v>
      </c>
      <c r="AF129" s="27">
        <f>(1/(2*LOG(3.7*$I129/'Calculation Constants'!$B$4*1000)))^2</f>
        <v>1.1152845500629007E-2</v>
      </c>
      <c r="AG129" s="19">
        <f t="shared" si="39"/>
        <v>0.59621735446906032</v>
      </c>
      <c r="AH129" s="19">
        <f>IF($H129&gt;0,'Calculation Constants'!$B$9*Hydraulics!$K129^2/2/9.81/MAX($F$4:$F$263)*$H129,"")</f>
        <v>3.3925755153643114E-2</v>
      </c>
      <c r="AI129" s="19">
        <f t="shared" si="49"/>
        <v>0.63014310962270348</v>
      </c>
      <c r="AJ129" s="19">
        <f t="shared" si="40"/>
        <v>0</v>
      </c>
      <c r="AK129" s="19">
        <f t="shared" si="50"/>
        <v>234.14528268452841</v>
      </c>
      <c r="AL129" s="23">
        <f t="shared" si="41"/>
        <v>1175.9222826845285</v>
      </c>
      <c r="AM129" s="22">
        <f>(1/(2*LOG(3.7*($I129-0.008)/'Calculation Constants'!$B$5*1000)))^2</f>
        <v>1.4104604303736145E-2</v>
      </c>
      <c r="AN129" s="19">
        <f t="shared" si="51"/>
        <v>0.75676661531854661</v>
      </c>
      <c r="AO129" s="19">
        <f>IF($H129&gt;0,'Calculation Constants'!$B$9*Hydraulics!$K129^2/2/9.81/MAX($F$4:$F$263)*$H129,"")</f>
        <v>3.3925755153643114E-2</v>
      </c>
      <c r="AP129" s="19">
        <f t="shared" si="52"/>
        <v>0.79069237047218976</v>
      </c>
      <c r="AQ129" s="19">
        <f t="shared" si="42"/>
        <v>0</v>
      </c>
      <c r="AR129" s="19">
        <f t="shared" si="53"/>
        <v>232.21869155433296</v>
      </c>
      <c r="AS129" s="23">
        <f t="shared" si="43"/>
        <v>1173.995691554333</v>
      </c>
    </row>
    <row r="130" spans="5:45">
      <c r="E130" s="35" t="str">
        <f t="shared" si="29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4"/>
        <v>2</v>
      </c>
      <c r="I130" s="19">
        <v>2.2000000000000002</v>
      </c>
      <c r="J130" s="36">
        <f>'Flow Rate Calculations'!$B$7</f>
        <v>4.0831050228310497</v>
      </c>
      <c r="K130" s="36">
        <f t="shared" si="44"/>
        <v>1.0741261942924094</v>
      </c>
      <c r="L130" s="37">
        <f>$I130*$K130/'Calculation Constants'!$B$7</f>
        <v>2091219.139330355</v>
      </c>
      <c r="M130" s="37" t="str">
        <f t="shared" si="30"/>
        <v>Greater Dynamic Pressures</v>
      </c>
      <c r="N130" s="23">
        <f t="shared" si="45"/>
        <v>229.01501972996994</v>
      </c>
      <c r="O130" s="57">
        <f t="shared" si="31"/>
        <v>228.30444710264464</v>
      </c>
      <c r="P130" s="66">
        <f>MAX(I130*1000/'Calculation Constants'!$B$14,O130*10*I130*1000/2/('Calculation Constants'!$B$12*1000*'Calculation Constants'!$B$13))</f>
        <v>16.742326120860607</v>
      </c>
      <c r="Q130" s="68">
        <f t="shared" si="32"/>
        <v>1802894.5157718249</v>
      </c>
      <c r="R130" s="27">
        <f>(1/(2*LOG(3.7*$I130/'Calculation Constants'!$B$2*1000)))^2</f>
        <v>8.4679866037394684E-3</v>
      </c>
      <c r="S130" s="19">
        <f t="shared" si="46"/>
        <v>0.45268811177167712</v>
      </c>
      <c r="T130" s="19">
        <f>IF($H130&gt;0,'Calculation Constants'!$B$9*Hydraulics!$K130^2/2/9.81/MAX($F$4:$F$263)*$H130,"")</f>
        <v>3.3925755153643114E-2</v>
      </c>
      <c r="U130" s="19">
        <f t="shared" si="47"/>
        <v>0.48661386692532022</v>
      </c>
      <c r="V130" s="19">
        <f t="shared" si="33"/>
        <v>0</v>
      </c>
      <c r="W130" s="19">
        <f t="shared" si="34"/>
        <v>229.01501972996994</v>
      </c>
      <c r="X130" s="23">
        <f t="shared" si="35"/>
        <v>1177.15801972997</v>
      </c>
      <c r="Y130" s="22">
        <f>(1/(2*LOG(3.7*$I130/'Calculation Constants'!$B$3*1000)))^2</f>
        <v>9.4904462912918219E-3</v>
      </c>
      <c r="Z130" s="19">
        <f t="shared" si="36"/>
        <v>0.50734754464280807</v>
      </c>
      <c r="AA130" s="19">
        <f>IF($H130&gt;0,'Calculation Constants'!$B$9*Hydraulics!$K130^2/2/9.81/MAX($F$4:$F$263)*$H130,"")</f>
        <v>3.3925755153643114E-2</v>
      </c>
      <c r="AB130" s="19">
        <f t="shared" si="55"/>
        <v>0.54127329979645122</v>
      </c>
      <c r="AC130" s="19">
        <f t="shared" si="37"/>
        <v>0</v>
      </c>
      <c r="AD130" s="19">
        <f t="shared" si="48"/>
        <v>228.30444710264464</v>
      </c>
      <c r="AE130" s="23">
        <f t="shared" si="38"/>
        <v>1176.4474471026447</v>
      </c>
      <c r="AF130" s="27">
        <f>(1/(2*LOG(3.7*$I130/'Calculation Constants'!$B$4*1000)))^2</f>
        <v>1.1152845500629007E-2</v>
      </c>
      <c r="AG130" s="19">
        <f t="shared" si="39"/>
        <v>0.59621735446906032</v>
      </c>
      <c r="AH130" s="19">
        <f>IF($H130&gt;0,'Calculation Constants'!$B$9*Hydraulics!$K130^2/2/9.81/MAX($F$4:$F$263)*$H130,"")</f>
        <v>3.3925755153643114E-2</v>
      </c>
      <c r="AI130" s="19">
        <f t="shared" si="49"/>
        <v>0.63014310962270348</v>
      </c>
      <c r="AJ130" s="19">
        <f t="shared" si="40"/>
        <v>0</v>
      </c>
      <c r="AK130" s="19">
        <f t="shared" si="50"/>
        <v>227.1491395749058</v>
      </c>
      <c r="AL130" s="23">
        <f t="shared" si="41"/>
        <v>1175.2921395749058</v>
      </c>
      <c r="AM130" s="22">
        <f>(1/(2*LOG(3.7*($I130-0.008)/'Calculation Constants'!$B$5*1000)))^2</f>
        <v>1.4104604303736145E-2</v>
      </c>
      <c r="AN130" s="19">
        <f t="shared" si="51"/>
        <v>0.75676661531854661</v>
      </c>
      <c r="AO130" s="19">
        <f>IF($H130&gt;0,'Calculation Constants'!$B$9*Hydraulics!$K130^2/2/9.81/MAX($F$4:$F$263)*$H130,"")</f>
        <v>3.3925755153643114E-2</v>
      </c>
      <c r="AP130" s="19">
        <f t="shared" si="52"/>
        <v>0.79069237047218976</v>
      </c>
      <c r="AQ130" s="19">
        <f t="shared" si="42"/>
        <v>0</v>
      </c>
      <c r="AR130" s="19">
        <f t="shared" si="53"/>
        <v>225.06199918386073</v>
      </c>
      <c r="AS130" s="23">
        <f t="shared" si="43"/>
        <v>1173.2049991838608</v>
      </c>
    </row>
    <row r="131" spans="5:45">
      <c r="E131" s="35" t="str">
        <f t="shared" si="29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4"/>
        <v>2</v>
      </c>
      <c r="I131" s="19">
        <v>2.2000000000000002</v>
      </c>
      <c r="J131" s="36">
        <f>'Flow Rate Calculations'!$B$7</f>
        <v>4.0831050228310497</v>
      </c>
      <c r="K131" s="36">
        <f t="shared" si="44"/>
        <v>1.0741261942924094</v>
      </c>
      <c r="L131" s="37">
        <f>$I131*$K131/'Calculation Constants'!$B$7</f>
        <v>2091219.139330355</v>
      </c>
      <c r="M131" s="37" t="str">
        <f t="shared" si="30"/>
        <v>Greater Dynamic Pressures</v>
      </c>
      <c r="N131" s="23">
        <f t="shared" si="45"/>
        <v>221.25440586304455</v>
      </c>
      <c r="O131" s="57">
        <f t="shared" si="31"/>
        <v>220.48917380284809</v>
      </c>
      <c r="P131" s="66">
        <f>MAX(I131*1000/'Calculation Constants'!$B$14,O131*10*I131*1000/2/('Calculation Constants'!$B$12*1000*'Calculation Constants'!$B$13))</f>
        <v>16.169206078875526</v>
      </c>
      <c r="Q131" s="68">
        <f t="shared" si="32"/>
        <v>1741635.2535412493</v>
      </c>
      <c r="R131" s="27">
        <f>(1/(2*LOG(3.7*$I131/'Calculation Constants'!$B$2*1000)))^2</f>
        <v>8.4679866037394684E-3</v>
      </c>
      <c r="S131" s="19">
        <f t="shared" si="46"/>
        <v>0.45268811177167712</v>
      </c>
      <c r="T131" s="19">
        <f>IF($H131&gt;0,'Calculation Constants'!$B$9*Hydraulics!$K131^2/2/9.81/MAX($F$4:$F$263)*$H131,"")</f>
        <v>3.3925755153643114E-2</v>
      </c>
      <c r="U131" s="19">
        <f t="shared" si="47"/>
        <v>0.48661386692532022</v>
      </c>
      <c r="V131" s="19">
        <f t="shared" si="33"/>
        <v>0</v>
      </c>
      <c r="W131" s="19">
        <f t="shared" si="34"/>
        <v>221.25440586304455</v>
      </c>
      <c r="X131" s="23">
        <f t="shared" si="35"/>
        <v>1176.6714058630446</v>
      </c>
      <c r="Y131" s="22">
        <f>(1/(2*LOG(3.7*$I131/'Calculation Constants'!$B$3*1000)))^2</f>
        <v>9.4904462912918219E-3</v>
      </c>
      <c r="Z131" s="19">
        <f t="shared" si="36"/>
        <v>0.50734754464280807</v>
      </c>
      <c r="AA131" s="19">
        <f>IF($H131&gt;0,'Calculation Constants'!$B$9*Hydraulics!$K131^2/2/9.81/MAX($F$4:$F$263)*$H131,"")</f>
        <v>3.3925755153643114E-2</v>
      </c>
      <c r="AB131" s="19">
        <f t="shared" si="55"/>
        <v>0.54127329979645122</v>
      </c>
      <c r="AC131" s="19">
        <f t="shared" si="37"/>
        <v>0</v>
      </c>
      <c r="AD131" s="19">
        <f t="shared" si="48"/>
        <v>220.48917380284809</v>
      </c>
      <c r="AE131" s="23">
        <f t="shared" si="38"/>
        <v>1175.9061738028481</v>
      </c>
      <c r="AF131" s="27">
        <f>(1/(2*LOG(3.7*$I131/'Calculation Constants'!$B$4*1000)))^2</f>
        <v>1.1152845500629007E-2</v>
      </c>
      <c r="AG131" s="19">
        <f t="shared" si="39"/>
        <v>0.59621735446906032</v>
      </c>
      <c r="AH131" s="19">
        <f>IF($H131&gt;0,'Calculation Constants'!$B$9*Hydraulics!$K131^2/2/9.81/MAX($F$4:$F$263)*$H131,"")</f>
        <v>3.3925755153643114E-2</v>
      </c>
      <c r="AI131" s="19">
        <f t="shared" si="49"/>
        <v>0.63014310962270348</v>
      </c>
      <c r="AJ131" s="19">
        <f t="shared" si="40"/>
        <v>0</v>
      </c>
      <c r="AK131" s="19">
        <f t="shared" si="50"/>
        <v>219.24499646528318</v>
      </c>
      <c r="AL131" s="23">
        <f t="shared" si="41"/>
        <v>1174.6619964652832</v>
      </c>
      <c r="AM131" s="22">
        <f>(1/(2*LOG(3.7*($I131-0.008)/'Calculation Constants'!$B$5*1000)))^2</f>
        <v>1.4104604303736145E-2</v>
      </c>
      <c r="AN131" s="19">
        <f t="shared" si="51"/>
        <v>0.75676661531854661</v>
      </c>
      <c r="AO131" s="19">
        <f>IF($H131&gt;0,'Calculation Constants'!$B$9*Hydraulics!$K131^2/2/9.81/MAX($F$4:$F$263)*$H131,"")</f>
        <v>3.3925755153643114E-2</v>
      </c>
      <c r="AP131" s="19">
        <f t="shared" si="52"/>
        <v>0.79069237047218976</v>
      </c>
      <c r="AQ131" s="19">
        <f t="shared" si="42"/>
        <v>0</v>
      </c>
      <c r="AR131" s="19">
        <f t="shared" si="53"/>
        <v>216.99730681338849</v>
      </c>
      <c r="AS131" s="23">
        <f t="shared" si="43"/>
        <v>1172.4143068133885</v>
      </c>
    </row>
    <row r="132" spans="5:45">
      <c r="E132" s="35" t="str">
        <f t="shared" ref="E132:E195" si="56">IF(OR(F132=$B$11,F132=$B$12,F132=$B$13,F132=$B$14,F132=$B$15),"Reservoir",IF(OR(F132=$B$4,F132=$B$5,F132=$B$6),"Pump Station",""))</f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4"/>
        <v>2</v>
      </c>
      <c r="I132" s="19">
        <v>2.2000000000000002</v>
      </c>
      <c r="J132" s="36">
        <f>'Flow Rate Calculations'!$B$7</f>
        <v>4.0831050228310497</v>
      </c>
      <c r="K132" s="36">
        <f t="shared" si="44"/>
        <v>1.0741261942924094</v>
      </c>
      <c r="L132" s="37">
        <f>$I132*$K132/'Calculation Constants'!$B$7</f>
        <v>2091219.139330355</v>
      </c>
      <c r="M132" s="37" t="str">
        <f t="shared" ref="M132:M195" si="57">IF(X132&gt;VLOOKUP(F132,$B$11:$D$15,2),"Greater Dynamic Pressures",VLOOKUP(F132,$B$11:$C$15,2)-G132)</f>
        <v>Greater Dynamic Pressures</v>
      </c>
      <c r="N132" s="23">
        <f t="shared" si="45"/>
        <v>213.48479199611916</v>
      </c>
      <c r="O132" s="57">
        <f t="shared" ref="O132:O195" si="58">MAX(M132,AD132)</f>
        <v>212.66490050305151</v>
      </c>
      <c r="P132" s="66">
        <f>MAX(I132*1000/'Calculation Constants'!$B$14,O132*10*I132*1000/2/('Calculation Constants'!$B$12*1000*'Calculation Constants'!$B$13))</f>
        <v>15.595426036890448</v>
      </c>
      <c r="Q132" s="68">
        <f t="shared" ref="Q132:Q195" si="59">(I132^2*PI()/4-(I132-P132/1000*2)^2*PI()/4)*H132*1000*7850</f>
        <v>1680272.9877733188</v>
      </c>
      <c r="R132" s="27">
        <f>(1/(2*LOG(3.7*$I132/'Calculation Constants'!$B$2*1000)))^2</f>
        <v>8.4679866037394684E-3</v>
      </c>
      <c r="S132" s="19">
        <f t="shared" si="46"/>
        <v>0.45268811177167712</v>
      </c>
      <c r="T132" s="19">
        <f>IF($H132&gt;0,'Calculation Constants'!$B$9*Hydraulics!$K132^2/2/9.81/MAX($F$4:$F$263)*$H132,"")</f>
        <v>3.3925755153643114E-2</v>
      </c>
      <c r="U132" s="19">
        <f t="shared" si="47"/>
        <v>0.48661386692532022</v>
      </c>
      <c r="V132" s="19">
        <f t="shared" ref="V132:V195" si="60">IF($F132=$B$4,$D$4,(IF($F132=$B$5,$D$5,IF($F132=$B$6,$D$6,0))))</f>
        <v>0</v>
      </c>
      <c r="W132" s="19">
        <f t="shared" ref="W132:W195" si="61">IF(E132="Reservoir",VLOOKUP(F132,$B$11:$D$15,2)-G132,X132-$G132)</f>
        <v>213.48479199611916</v>
      </c>
      <c r="X132" s="23">
        <f t="shared" ref="X132:X195" si="62">IF($E132="Reservoir",VLOOKUP($F132,$B$11:$D$15,2)+V132,X131-U132+V132)</f>
        <v>1176.1847919961192</v>
      </c>
      <c r="Y132" s="22">
        <f>(1/(2*LOG(3.7*$I132/'Calculation Constants'!$B$3*1000)))^2</f>
        <v>9.4904462912918219E-3</v>
      </c>
      <c r="Z132" s="19">
        <f t="shared" ref="Z132:Z195" si="63">IF($H132&gt;0,Y132*$H132*$K132^2/2/9.81/$I132*1000,"")</f>
        <v>0.50734754464280807</v>
      </c>
      <c r="AA132" s="19">
        <f>IF($H132&gt;0,'Calculation Constants'!$B$9*Hydraulics!$K132^2/2/9.81/MAX($F$4:$F$263)*$H132,"")</f>
        <v>3.3925755153643114E-2</v>
      </c>
      <c r="AB132" s="19">
        <f t="shared" si="55"/>
        <v>0.54127329979645122</v>
      </c>
      <c r="AC132" s="19">
        <f t="shared" ref="AC132:AC195" si="64">IF($F132=$B$4,$D$4,(IF($F132=$B$5,$D$5,IF($F132=$B$6,$D$6,0))))</f>
        <v>0</v>
      </c>
      <c r="AD132" s="19">
        <f t="shared" si="48"/>
        <v>212.66490050305151</v>
      </c>
      <c r="AE132" s="23">
        <f t="shared" ref="AE132:AE195" si="65">IF($E132="Reservoir",VLOOKUP($F132,$B$11:$D$15,2)+AC132,AE131-AB132+AC132)</f>
        <v>1175.3649005030516</v>
      </c>
      <c r="AF132" s="27">
        <f>(1/(2*LOG(3.7*$I132/'Calculation Constants'!$B$4*1000)))^2</f>
        <v>1.1152845500629007E-2</v>
      </c>
      <c r="AG132" s="19">
        <f t="shared" ref="AG132:AG195" si="66">IF($H132&gt;0,AF132*$H132*$K132^2/2/9.81/$I132*1000,"")</f>
        <v>0.59621735446906032</v>
      </c>
      <c r="AH132" s="19">
        <f>IF($H132&gt;0,'Calculation Constants'!$B$9*Hydraulics!$K132^2/2/9.81/MAX($F$4:$F$263)*$H132,"")</f>
        <v>3.3925755153643114E-2</v>
      </c>
      <c r="AI132" s="19">
        <f t="shared" si="49"/>
        <v>0.63014310962270348</v>
      </c>
      <c r="AJ132" s="19">
        <f t="shared" ref="AJ132:AJ195" si="67">IF($F132=$B$4,$D$4,(IF($F132=$B$5,$D$5,IF($F132=$B$6,$D$6,0))))</f>
        <v>0</v>
      </c>
      <c r="AK132" s="19">
        <f t="shared" si="50"/>
        <v>211.33185335566054</v>
      </c>
      <c r="AL132" s="23">
        <f t="shared" ref="AL132:AL195" si="68">IF($E132="Reservoir",VLOOKUP($F132,$B$11:$D$15,2)+AJ132,AL131-AI132+AJ132)</f>
        <v>1174.0318533556606</v>
      </c>
      <c r="AM132" s="22">
        <f>(1/(2*LOG(3.7*($I132-0.008)/'Calculation Constants'!$B$5*1000)))^2</f>
        <v>1.4104604303736145E-2</v>
      </c>
      <c r="AN132" s="19">
        <f t="shared" si="51"/>
        <v>0.75676661531854661</v>
      </c>
      <c r="AO132" s="19">
        <f>IF($H132&gt;0,'Calculation Constants'!$B$9*Hydraulics!$K132^2/2/9.81/MAX($F$4:$F$263)*$H132,"")</f>
        <v>3.3925755153643114E-2</v>
      </c>
      <c r="AP132" s="19">
        <f t="shared" si="52"/>
        <v>0.79069237047218976</v>
      </c>
      <c r="AQ132" s="19">
        <f t="shared" ref="AQ132:AQ195" si="69">IF($F132=$B$4,$D$4,(IF($F132=$B$5,$D$5,IF($F132=$B$6,$D$6,0))))</f>
        <v>0</v>
      </c>
      <c r="AR132" s="19">
        <f t="shared" si="53"/>
        <v>208.92361444291623</v>
      </c>
      <c r="AS132" s="23">
        <f t="shared" ref="AS132:AS195" si="70">IF($E132="Reservoir",VLOOKUP($F132,$B$11:$D$15,2)+AQ132,AS131-AP132+AQ132)</f>
        <v>1171.6236144429163</v>
      </c>
    </row>
    <row r="133" spans="5:45">
      <c r="E133" s="35" t="str">
        <f t="shared" si="56"/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4"/>
        <v>2</v>
      </c>
      <c r="I133" s="19">
        <v>2.2000000000000002</v>
      </c>
      <c r="J133" s="36">
        <f>'Flow Rate Calculations'!$B$7</f>
        <v>4.0831050228310497</v>
      </c>
      <c r="K133" s="36">
        <f t="shared" ref="K133:K196" si="71">J133/I133^2/PI()*4</f>
        <v>1.0741261942924094</v>
      </c>
      <c r="L133" s="37">
        <f>$I133*$K133/'Calculation Constants'!$B$7</f>
        <v>2091219.139330355</v>
      </c>
      <c r="M133" s="37" t="str">
        <f t="shared" si="57"/>
        <v>Greater Dynamic Pressures</v>
      </c>
      <c r="N133" s="23">
        <f t="shared" ref="N133:N196" si="72">W133</f>
        <v>206.41717812919387</v>
      </c>
      <c r="O133" s="57">
        <f t="shared" si="58"/>
        <v>205.54262720325505</v>
      </c>
      <c r="P133" s="66">
        <f>MAX(I133*1000/'Calculation Constants'!$B$14,O133*10*I133*1000/2/('Calculation Constants'!$B$12*1000*'Calculation Constants'!$B$13))</f>
        <v>15.07312599490537</v>
      </c>
      <c r="Q133" s="68">
        <f t="shared" si="59"/>
        <v>1624387.9565447303</v>
      </c>
      <c r="R133" s="27">
        <f>(1/(2*LOG(3.7*$I133/'Calculation Constants'!$B$2*1000)))^2</f>
        <v>8.4679866037394684E-3</v>
      </c>
      <c r="S133" s="19">
        <f t="shared" ref="S133:S196" si="73">IF($H133&gt;0,R133*$H133*$K133^2/2/9.81/$I133*1000,"")</f>
        <v>0.45268811177167712</v>
      </c>
      <c r="T133" s="19">
        <f>IF($H133&gt;0,'Calculation Constants'!$B$9*Hydraulics!$K133^2/2/9.81/MAX($F$4:$F$263)*$H133,"")</f>
        <v>3.3925755153643114E-2</v>
      </c>
      <c r="U133" s="19">
        <f t="shared" ref="U133:U196" si="74">IF(S133="",0,S133+T133)</f>
        <v>0.48661386692532022</v>
      </c>
      <c r="V133" s="19">
        <f t="shared" si="60"/>
        <v>0</v>
      </c>
      <c r="W133" s="19">
        <f t="shared" si="61"/>
        <v>206.41717812919387</v>
      </c>
      <c r="X133" s="23">
        <f t="shared" si="62"/>
        <v>1175.6981781291938</v>
      </c>
      <c r="Y133" s="22">
        <f>(1/(2*LOG(3.7*$I133/'Calculation Constants'!$B$3*1000)))^2</f>
        <v>9.4904462912918219E-3</v>
      </c>
      <c r="Z133" s="19">
        <f t="shared" si="63"/>
        <v>0.50734754464280807</v>
      </c>
      <c r="AA133" s="19">
        <f>IF($H133&gt;0,'Calculation Constants'!$B$9*Hydraulics!$K133^2/2/9.81/MAX($F$4:$F$263)*$H133,"")</f>
        <v>3.3925755153643114E-2</v>
      </c>
      <c r="AB133" s="19">
        <f t="shared" si="55"/>
        <v>0.54127329979645122</v>
      </c>
      <c r="AC133" s="19">
        <f t="shared" si="64"/>
        <v>0</v>
      </c>
      <c r="AD133" s="19">
        <f t="shared" ref="AD133:AD196" si="75">AE133-$G133</f>
        <v>205.54262720325505</v>
      </c>
      <c r="AE133" s="23">
        <f t="shared" si="65"/>
        <v>1174.823627203255</v>
      </c>
      <c r="AF133" s="27">
        <f>(1/(2*LOG(3.7*$I133/'Calculation Constants'!$B$4*1000)))^2</f>
        <v>1.1152845500629007E-2</v>
      </c>
      <c r="AG133" s="19">
        <f t="shared" si="66"/>
        <v>0.59621735446906032</v>
      </c>
      <c r="AH133" s="19">
        <f>IF($H133&gt;0,'Calculation Constants'!$B$9*Hydraulics!$K133^2/2/9.81/MAX($F$4:$F$263)*$H133,"")</f>
        <v>3.3925755153643114E-2</v>
      </c>
      <c r="AI133" s="19">
        <f t="shared" ref="AI133:AI196" si="76">IF(AG133="",0,AG133+AH133)</f>
        <v>0.63014310962270348</v>
      </c>
      <c r="AJ133" s="19">
        <f t="shared" si="67"/>
        <v>0</v>
      </c>
      <c r="AK133" s="19">
        <f t="shared" ref="AK133:AK196" si="77">AL133-$G133</f>
        <v>204.12071024603802</v>
      </c>
      <c r="AL133" s="23">
        <f t="shared" si="68"/>
        <v>1173.401710246038</v>
      </c>
      <c r="AM133" s="22">
        <f>(1/(2*LOG(3.7*($I133-0.008)/'Calculation Constants'!$B$5*1000)))^2</f>
        <v>1.4104604303736145E-2</v>
      </c>
      <c r="AN133" s="19">
        <f t="shared" ref="AN133:AN196" si="78">IF($H133&gt;0,AM133*$H133*$K133^2/2/9.81/($I133-0.008)*1000,"")</f>
        <v>0.75676661531854661</v>
      </c>
      <c r="AO133" s="19">
        <f>IF($H133&gt;0,'Calculation Constants'!$B$9*Hydraulics!$K133^2/2/9.81/MAX($F$4:$F$263)*$H133,"")</f>
        <v>3.3925755153643114E-2</v>
      </c>
      <c r="AP133" s="19">
        <f t="shared" ref="AP133:AP196" si="79">IF(AN133="",0,AN133+AO133)</f>
        <v>0.79069237047218976</v>
      </c>
      <c r="AQ133" s="19">
        <f t="shared" si="69"/>
        <v>0</v>
      </c>
      <c r="AR133" s="19">
        <f t="shared" ref="AR133:AR196" si="80">AS133-$G133</f>
        <v>201.55192207244409</v>
      </c>
      <c r="AS133" s="23">
        <f t="shared" si="70"/>
        <v>1170.832922072444</v>
      </c>
    </row>
    <row r="134" spans="5:45">
      <c r="E134" s="35" t="str">
        <f t="shared" si="56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1">F134-F133</f>
        <v>2</v>
      </c>
      <c r="I134" s="19">
        <v>2.2000000000000002</v>
      </c>
      <c r="J134" s="36">
        <f>'Flow Rate Calculations'!$B$7</f>
        <v>4.0831050228310497</v>
      </c>
      <c r="K134" s="36">
        <f t="shared" si="71"/>
        <v>1.0741261942924094</v>
      </c>
      <c r="L134" s="37">
        <f>$I134*$K134/'Calculation Constants'!$B$7</f>
        <v>2091219.139330355</v>
      </c>
      <c r="M134" s="37" t="str">
        <f t="shared" si="57"/>
        <v>Greater Dynamic Pressures</v>
      </c>
      <c r="N134" s="23">
        <f t="shared" si="72"/>
        <v>194.92756426226845</v>
      </c>
      <c r="O134" s="57">
        <f t="shared" si="58"/>
        <v>193.99835390345845</v>
      </c>
      <c r="P134" s="66">
        <f>MAX(I134*1000/'Calculation Constants'!$B$14,O134*10*I134*1000/2/('Calculation Constants'!$B$12*1000*'Calculation Constants'!$B$13))</f>
        <v>14.226545952920286</v>
      </c>
      <c r="Q134" s="68">
        <f t="shared" si="59"/>
        <v>1533748.4728918986</v>
      </c>
      <c r="R134" s="27">
        <f>(1/(2*LOG(3.7*$I134/'Calculation Constants'!$B$2*1000)))^2</f>
        <v>8.4679866037394684E-3</v>
      </c>
      <c r="S134" s="19">
        <f t="shared" si="73"/>
        <v>0.45268811177167712</v>
      </c>
      <c r="T134" s="19">
        <f>IF($H134&gt;0,'Calculation Constants'!$B$9*Hydraulics!$K134^2/2/9.81/MAX($F$4:$F$263)*$H134,"")</f>
        <v>3.3925755153643114E-2</v>
      </c>
      <c r="U134" s="19">
        <f t="shared" si="74"/>
        <v>0.48661386692532022</v>
      </c>
      <c r="V134" s="19">
        <f t="shared" si="60"/>
        <v>0</v>
      </c>
      <c r="W134" s="19">
        <f t="shared" si="61"/>
        <v>194.92756426226845</v>
      </c>
      <c r="X134" s="23">
        <f t="shared" si="62"/>
        <v>1175.2115642622684</v>
      </c>
      <c r="Y134" s="22">
        <f>(1/(2*LOG(3.7*$I134/'Calculation Constants'!$B$3*1000)))^2</f>
        <v>9.4904462912918219E-3</v>
      </c>
      <c r="Z134" s="19">
        <f t="shared" si="63"/>
        <v>0.50734754464280807</v>
      </c>
      <c r="AA134" s="19">
        <f>IF($H134&gt;0,'Calculation Constants'!$B$9*Hydraulics!$K134^2/2/9.81/MAX($F$4:$F$263)*$H134,"")</f>
        <v>3.3925755153643114E-2</v>
      </c>
      <c r="AB134" s="19">
        <f t="shared" si="55"/>
        <v>0.54127329979645122</v>
      </c>
      <c r="AC134" s="19">
        <f t="shared" si="64"/>
        <v>0</v>
      </c>
      <c r="AD134" s="19">
        <f t="shared" si="75"/>
        <v>193.99835390345845</v>
      </c>
      <c r="AE134" s="23">
        <f t="shared" si="65"/>
        <v>1174.2823539034584</v>
      </c>
      <c r="AF134" s="27">
        <f>(1/(2*LOG(3.7*$I134/'Calculation Constants'!$B$4*1000)))^2</f>
        <v>1.1152845500629007E-2</v>
      </c>
      <c r="AG134" s="19">
        <f t="shared" si="66"/>
        <v>0.59621735446906032</v>
      </c>
      <c r="AH134" s="19">
        <f>IF($H134&gt;0,'Calculation Constants'!$B$9*Hydraulics!$K134^2/2/9.81/MAX($F$4:$F$263)*$H134,"")</f>
        <v>3.3925755153643114E-2</v>
      </c>
      <c r="AI134" s="19">
        <f t="shared" si="76"/>
        <v>0.63014310962270348</v>
      </c>
      <c r="AJ134" s="19">
        <f t="shared" si="67"/>
        <v>0</v>
      </c>
      <c r="AK134" s="19">
        <f t="shared" si="77"/>
        <v>192.48756713641535</v>
      </c>
      <c r="AL134" s="23">
        <f t="shared" si="68"/>
        <v>1172.7715671364153</v>
      </c>
      <c r="AM134" s="22">
        <f>(1/(2*LOG(3.7*($I134-0.008)/'Calculation Constants'!$B$5*1000)))^2</f>
        <v>1.4104604303736145E-2</v>
      </c>
      <c r="AN134" s="19">
        <f t="shared" si="78"/>
        <v>0.75676661531854661</v>
      </c>
      <c r="AO134" s="19">
        <f>IF($H134&gt;0,'Calculation Constants'!$B$9*Hydraulics!$K134^2/2/9.81/MAX($F$4:$F$263)*$H134,"")</f>
        <v>3.3925755153643114E-2</v>
      </c>
      <c r="AP134" s="19">
        <f t="shared" si="79"/>
        <v>0.79069237047218976</v>
      </c>
      <c r="AQ134" s="19">
        <f t="shared" si="69"/>
        <v>0</v>
      </c>
      <c r="AR134" s="19">
        <f t="shared" si="80"/>
        <v>189.7582297019718</v>
      </c>
      <c r="AS134" s="23">
        <f t="shared" si="70"/>
        <v>1170.0422297019718</v>
      </c>
    </row>
    <row r="135" spans="5:45">
      <c r="E135" s="35" t="str">
        <f t="shared" si="56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1"/>
        <v>2</v>
      </c>
      <c r="I135" s="19">
        <v>2.2000000000000002</v>
      </c>
      <c r="J135" s="36">
        <f>'Flow Rate Calculations'!$B$7</f>
        <v>4.0831050228310497</v>
      </c>
      <c r="K135" s="36">
        <f t="shared" si="71"/>
        <v>1.0741261942924094</v>
      </c>
      <c r="L135" s="37">
        <f>$I135*$K135/'Calculation Constants'!$B$7</f>
        <v>2091219.139330355</v>
      </c>
      <c r="M135" s="37" t="str">
        <f t="shared" si="57"/>
        <v>Greater Dynamic Pressures</v>
      </c>
      <c r="N135" s="23">
        <f t="shared" si="72"/>
        <v>188.17395039534301</v>
      </c>
      <c r="O135" s="57">
        <f t="shared" si="58"/>
        <v>187.19008060366184</v>
      </c>
      <c r="P135" s="66">
        <f>MAX(I135*1000/'Calculation Constants'!$B$14,O135*10*I135*1000/2/('Calculation Constants'!$B$12*1000*'Calculation Constants'!$B$13))</f>
        <v>13.75</v>
      </c>
      <c r="Q135" s="68">
        <f t="shared" si="59"/>
        <v>1482695.7604373412</v>
      </c>
      <c r="R135" s="27">
        <f>(1/(2*LOG(3.7*$I135/'Calculation Constants'!$B$2*1000)))^2</f>
        <v>8.4679866037394684E-3</v>
      </c>
      <c r="S135" s="19">
        <f t="shared" si="73"/>
        <v>0.45268811177167712</v>
      </c>
      <c r="T135" s="19">
        <f>IF($H135&gt;0,'Calculation Constants'!$B$9*Hydraulics!$K135^2/2/9.81/MAX($F$4:$F$263)*$H135,"")</f>
        <v>3.3925755153643114E-2</v>
      </c>
      <c r="U135" s="19">
        <f t="shared" si="74"/>
        <v>0.48661386692532022</v>
      </c>
      <c r="V135" s="19">
        <f t="shared" si="60"/>
        <v>0</v>
      </c>
      <c r="W135" s="19">
        <f t="shared" si="61"/>
        <v>188.17395039534301</v>
      </c>
      <c r="X135" s="23">
        <f t="shared" si="62"/>
        <v>1174.7249503953431</v>
      </c>
      <c r="Y135" s="22">
        <f>(1/(2*LOG(3.7*$I135/'Calculation Constants'!$B$3*1000)))^2</f>
        <v>9.4904462912918219E-3</v>
      </c>
      <c r="Z135" s="19">
        <f t="shared" si="63"/>
        <v>0.50734754464280807</v>
      </c>
      <c r="AA135" s="19">
        <f>IF($H135&gt;0,'Calculation Constants'!$B$9*Hydraulics!$K135^2/2/9.81/MAX($F$4:$F$263)*$H135,"")</f>
        <v>3.3925755153643114E-2</v>
      </c>
      <c r="AB135" s="19">
        <f t="shared" si="55"/>
        <v>0.54127329979645122</v>
      </c>
      <c r="AC135" s="19">
        <f t="shared" si="64"/>
        <v>0</v>
      </c>
      <c r="AD135" s="19">
        <f t="shared" si="75"/>
        <v>187.19008060366184</v>
      </c>
      <c r="AE135" s="23">
        <f t="shared" si="65"/>
        <v>1173.7410806036619</v>
      </c>
      <c r="AF135" s="27">
        <f>(1/(2*LOG(3.7*$I135/'Calculation Constants'!$B$4*1000)))^2</f>
        <v>1.1152845500629007E-2</v>
      </c>
      <c r="AG135" s="19">
        <f t="shared" si="66"/>
        <v>0.59621735446906032</v>
      </c>
      <c r="AH135" s="19">
        <f>IF($H135&gt;0,'Calculation Constants'!$B$9*Hydraulics!$K135^2/2/9.81/MAX($F$4:$F$263)*$H135,"")</f>
        <v>3.3925755153643114E-2</v>
      </c>
      <c r="AI135" s="19">
        <f t="shared" si="76"/>
        <v>0.63014310962270348</v>
      </c>
      <c r="AJ135" s="19">
        <f t="shared" si="67"/>
        <v>0</v>
      </c>
      <c r="AK135" s="19">
        <f t="shared" si="77"/>
        <v>185.59042402679268</v>
      </c>
      <c r="AL135" s="23">
        <f t="shared" si="68"/>
        <v>1172.1414240267927</v>
      </c>
      <c r="AM135" s="22">
        <f>(1/(2*LOG(3.7*($I135-0.008)/'Calculation Constants'!$B$5*1000)))^2</f>
        <v>1.4104604303736145E-2</v>
      </c>
      <c r="AN135" s="19">
        <f t="shared" si="78"/>
        <v>0.75676661531854661</v>
      </c>
      <c r="AO135" s="19">
        <f>IF($H135&gt;0,'Calculation Constants'!$B$9*Hydraulics!$K135^2/2/9.81/MAX($F$4:$F$263)*$H135,"")</f>
        <v>3.3925755153643114E-2</v>
      </c>
      <c r="AP135" s="19">
        <f t="shared" si="79"/>
        <v>0.79069237047218976</v>
      </c>
      <c r="AQ135" s="19">
        <f t="shared" si="69"/>
        <v>0</v>
      </c>
      <c r="AR135" s="19">
        <f t="shared" si="80"/>
        <v>182.7005373314995</v>
      </c>
      <c r="AS135" s="23">
        <f t="shared" si="70"/>
        <v>1169.2515373314995</v>
      </c>
    </row>
    <row r="136" spans="5:45">
      <c r="E136" s="35" t="str">
        <f t="shared" si="56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1"/>
        <v>2</v>
      </c>
      <c r="I136" s="19">
        <v>2.2000000000000002</v>
      </c>
      <c r="J136" s="36">
        <f>'Flow Rate Calculations'!$B$7</f>
        <v>4.0831050228310497</v>
      </c>
      <c r="K136" s="36">
        <f t="shared" si="71"/>
        <v>1.0741261942924094</v>
      </c>
      <c r="L136" s="37">
        <f>$I136*$K136/'Calculation Constants'!$B$7</f>
        <v>2091219.139330355</v>
      </c>
      <c r="M136" s="37" t="str">
        <f t="shared" si="57"/>
        <v>Greater Dynamic Pressures</v>
      </c>
      <c r="N136" s="23">
        <f t="shared" si="72"/>
        <v>185.0403365284177</v>
      </c>
      <c r="O136" s="57">
        <f t="shared" si="58"/>
        <v>184.00180730386535</v>
      </c>
      <c r="P136" s="66">
        <f>MAX(I136*1000/'Calculation Constants'!$B$14,O136*10*I136*1000/2/('Calculation Constants'!$B$12*1000*'Calculation Constants'!$B$13))</f>
        <v>13.75</v>
      </c>
      <c r="Q136" s="68">
        <f t="shared" si="59"/>
        <v>1482695.7604373412</v>
      </c>
      <c r="R136" s="27">
        <f>(1/(2*LOG(3.7*$I136/'Calculation Constants'!$B$2*1000)))^2</f>
        <v>8.4679866037394684E-3</v>
      </c>
      <c r="S136" s="19">
        <f t="shared" si="73"/>
        <v>0.45268811177167712</v>
      </c>
      <c r="T136" s="19">
        <f>IF($H136&gt;0,'Calculation Constants'!$B$9*Hydraulics!$K136^2/2/9.81/MAX($F$4:$F$263)*$H136,"")</f>
        <v>3.3925755153643114E-2</v>
      </c>
      <c r="U136" s="19">
        <f t="shared" si="74"/>
        <v>0.48661386692532022</v>
      </c>
      <c r="V136" s="19">
        <f t="shared" si="60"/>
        <v>0</v>
      </c>
      <c r="W136" s="19">
        <f t="shared" si="61"/>
        <v>185.0403365284177</v>
      </c>
      <c r="X136" s="23">
        <f t="shared" si="62"/>
        <v>1174.2383365284177</v>
      </c>
      <c r="Y136" s="22">
        <f>(1/(2*LOG(3.7*$I136/'Calculation Constants'!$B$3*1000)))^2</f>
        <v>9.4904462912918219E-3</v>
      </c>
      <c r="Z136" s="19">
        <f t="shared" si="63"/>
        <v>0.50734754464280807</v>
      </c>
      <c r="AA136" s="19">
        <f>IF($H136&gt;0,'Calculation Constants'!$B$9*Hydraulics!$K136^2/2/9.81/MAX($F$4:$F$263)*$H136,"")</f>
        <v>3.3925755153643114E-2</v>
      </c>
      <c r="AB136" s="19">
        <f t="shared" ref="AB136:AB199" si="82">IF(Z136="",0,Z136+AA136)</f>
        <v>0.54127329979645122</v>
      </c>
      <c r="AC136" s="19">
        <f t="shared" si="64"/>
        <v>0</v>
      </c>
      <c r="AD136" s="19">
        <f t="shared" si="75"/>
        <v>184.00180730386535</v>
      </c>
      <c r="AE136" s="23">
        <f t="shared" si="65"/>
        <v>1173.1998073038653</v>
      </c>
      <c r="AF136" s="27">
        <f>(1/(2*LOG(3.7*$I136/'Calculation Constants'!$B$4*1000)))^2</f>
        <v>1.1152845500629007E-2</v>
      </c>
      <c r="AG136" s="19">
        <f t="shared" si="66"/>
        <v>0.59621735446906032</v>
      </c>
      <c r="AH136" s="19">
        <f>IF($H136&gt;0,'Calculation Constants'!$B$9*Hydraulics!$K136^2/2/9.81/MAX($F$4:$F$263)*$H136,"")</f>
        <v>3.3925755153643114E-2</v>
      </c>
      <c r="AI136" s="19">
        <f t="shared" si="76"/>
        <v>0.63014310962270348</v>
      </c>
      <c r="AJ136" s="19">
        <f t="shared" si="67"/>
        <v>0</v>
      </c>
      <c r="AK136" s="19">
        <f t="shared" si="77"/>
        <v>182.31328091717012</v>
      </c>
      <c r="AL136" s="23">
        <f t="shared" si="68"/>
        <v>1171.5112809171701</v>
      </c>
      <c r="AM136" s="22">
        <f>(1/(2*LOG(3.7*($I136-0.008)/'Calculation Constants'!$B$5*1000)))^2</f>
        <v>1.4104604303736145E-2</v>
      </c>
      <c r="AN136" s="19">
        <f t="shared" si="78"/>
        <v>0.75676661531854661</v>
      </c>
      <c r="AO136" s="19">
        <f>IF($H136&gt;0,'Calculation Constants'!$B$9*Hydraulics!$K136^2/2/9.81/MAX($F$4:$F$263)*$H136,"")</f>
        <v>3.3925755153643114E-2</v>
      </c>
      <c r="AP136" s="19">
        <f t="shared" si="79"/>
        <v>0.79069237047218976</v>
      </c>
      <c r="AQ136" s="19">
        <f t="shared" si="69"/>
        <v>0</v>
      </c>
      <c r="AR136" s="19">
        <f t="shared" si="80"/>
        <v>179.26284496102733</v>
      </c>
      <c r="AS136" s="23">
        <f t="shared" si="70"/>
        <v>1168.4608449610273</v>
      </c>
    </row>
    <row r="137" spans="5:45">
      <c r="E137" s="35" t="str">
        <f t="shared" si="56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1"/>
        <v>2</v>
      </c>
      <c r="I137" s="19">
        <v>2.2000000000000002</v>
      </c>
      <c r="J137" s="36">
        <f>'Flow Rate Calculations'!$B$7</f>
        <v>4.0831050228310497</v>
      </c>
      <c r="K137" s="36">
        <f t="shared" si="71"/>
        <v>1.0741261942924094</v>
      </c>
      <c r="L137" s="37">
        <f>$I137*$K137/'Calculation Constants'!$B$7</f>
        <v>2091219.139330355</v>
      </c>
      <c r="M137" s="37" t="str">
        <f t="shared" si="57"/>
        <v>Greater Dynamic Pressures</v>
      </c>
      <c r="N137" s="23">
        <f t="shared" si="72"/>
        <v>179.36172266149231</v>
      </c>
      <c r="O137" s="57">
        <f t="shared" si="58"/>
        <v>178.26853400406878</v>
      </c>
      <c r="P137" s="66">
        <f>MAX(I137*1000/'Calculation Constants'!$B$14,O137*10*I137*1000/2/('Calculation Constants'!$B$12*1000*'Calculation Constants'!$B$13))</f>
        <v>13.75</v>
      </c>
      <c r="Q137" s="68">
        <f t="shared" si="59"/>
        <v>1482695.7604373412</v>
      </c>
      <c r="R137" s="27">
        <f>(1/(2*LOG(3.7*$I137/'Calculation Constants'!$B$2*1000)))^2</f>
        <v>8.4679866037394684E-3</v>
      </c>
      <c r="S137" s="19">
        <f t="shared" si="73"/>
        <v>0.45268811177167712</v>
      </c>
      <c r="T137" s="19">
        <f>IF($H137&gt;0,'Calculation Constants'!$B$9*Hydraulics!$K137^2/2/9.81/MAX($F$4:$F$263)*$H137,"")</f>
        <v>3.3925755153643114E-2</v>
      </c>
      <c r="U137" s="19">
        <f t="shared" si="74"/>
        <v>0.48661386692532022</v>
      </c>
      <c r="V137" s="19">
        <f t="shared" si="60"/>
        <v>0</v>
      </c>
      <c r="W137" s="19">
        <f t="shared" si="61"/>
        <v>179.36172266149231</v>
      </c>
      <c r="X137" s="23">
        <f t="shared" si="62"/>
        <v>1173.7517226614923</v>
      </c>
      <c r="Y137" s="22">
        <f>(1/(2*LOG(3.7*$I137/'Calculation Constants'!$B$3*1000)))^2</f>
        <v>9.4904462912918219E-3</v>
      </c>
      <c r="Z137" s="19">
        <f t="shared" si="63"/>
        <v>0.50734754464280807</v>
      </c>
      <c r="AA137" s="19">
        <f>IF($H137&gt;0,'Calculation Constants'!$B$9*Hydraulics!$K137^2/2/9.81/MAX($F$4:$F$263)*$H137,"")</f>
        <v>3.3925755153643114E-2</v>
      </c>
      <c r="AB137" s="19">
        <f t="shared" si="82"/>
        <v>0.54127329979645122</v>
      </c>
      <c r="AC137" s="19">
        <f t="shared" si="64"/>
        <v>0</v>
      </c>
      <c r="AD137" s="19">
        <f t="shared" si="75"/>
        <v>178.26853400406878</v>
      </c>
      <c r="AE137" s="23">
        <f t="shared" si="65"/>
        <v>1172.6585340040688</v>
      </c>
      <c r="AF137" s="27">
        <f>(1/(2*LOG(3.7*$I137/'Calculation Constants'!$B$4*1000)))^2</f>
        <v>1.1152845500629007E-2</v>
      </c>
      <c r="AG137" s="19">
        <f t="shared" si="66"/>
        <v>0.59621735446906032</v>
      </c>
      <c r="AH137" s="19">
        <f>IF($H137&gt;0,'Calculation Constants'!$B$9*Hydraulics!$K137^2/2/9.81/MAX($F$4:$F$263)*$H137,"")</f>
        <v>3.3925755153643114E-2</v>
      </c>
      <c r="AI137" s="19">
        <f t="shared" si="76"/>
        <v>0.63014310962270348</v>
      </c>
      <c r="AJ137" s="19">
        <f t="shared" si="67"/>
        <v>0</v>
      </c>
      <c r="AK137" s="19">
        <f t="shared" si="77"/>
        <v>176.49113780754749</v>
      </c>
      <c r="AL137" s="23">
        <f t="shared" si="68"/>
        <v>1170.8811378075475</v>
      </c>
      <c r="AM137" s="22">
        <f>(1/(2*LOG(3.7*($I137-0.008)/'Calculation Constants'!$B$5*1000)))^2</f>
        <v>1.4104604303736145E-2</v>
      </c>
      <c r="AN137" s="19">
        <f t="shared" si="78"/>
        <v>0.75676661531854661</v>
      </c>
      <c r="AO137" s="19">
        <f>IF($H137&gt;0,'Calculation Constants'!$B$9*Hydraulics!$K137^2/2/9.81/MAX($F$4:$F$263)*$H137,"")</f>
        <v>3.3925755153643114E-2</v>
      </c>
      <c r="AP137" s="19">
        <f t="shared" si="79"/>
        <v>0.79069237047218976</v>
      </c>
      <c r="AQ137" s="19">
        <f t="shared" si="69"/>
        <v>0</v>
      </c>
      <c r="AR137" s="19">
        <f t="shared" si="80"/>
        <v>173.28015259055508</v>
      </c>
      <c r="AS137" s="23">
        <f t="shared" si="70"/>
        <v>1167.6701525905551</v>
      </c>
    </row>
    <row r="138" spans="5:45">
      <c r="E138" s="35" t="str">
        <f t="shared" si="56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1"/>
        <v>2</v>
      </c>
      <c r="I138" s="19">
        <v>2.2000000000000002</v>
      </c>
      <c r="J138" s="36">
        <f>'Flow Rate Calculations'!$B$7</f>
        <v>4.0831050228310497</v>
      </c>
      <c r="K138" s="36">
        <f t="shared" si="71"/>
        <v>1.0741261942924094</v>
      </c>
      <c r="L138" s="37">
        <f>$I138*$K138/'Calculation Constants'!$B$7</f>
        <v>2091219.139330355</v>
      </c>
      <c r="M138" s="37" t="str">
        <f t="shared" si="57"/>
        <v>Greater Dynamic Pressures</v>
      </c>
      <c r="N138" s="23">
        <f t="shared" si="72"/>
        <v>173.34810879456688</v>
      </c>
      <c r="O138" s="57">
        <f t="shared" si="58"/>
        <v>172.20026070427218</v>
      </c>
      <c r="P138" s="66">
        <f>MAX(I138*1000/'Calculation Constants'!$B$14,O138*10*I138*1000/2/('Calculation Constants'!$B$12*1000*'Calculation Constants'!$B$13))</f>
        <v>13.75</v>
      </c>
      <c r="Q138" s="68">
        <f t="shared" si="59"/>
        <v>1482695.7604373412</v>
      </c>
      <c r="R138" s="27">
        <f>(1/(2*LOG(3.7*$I138/'Calculation Constants'!$B$2*1000)))^2</f>
        <v>8.4679866037394684E-3</v>
      </c>
      <c r="S138" s="19">
        <f t="shared" si="73"/>
        <v>0.45268811177167712</v>
      </c>
      <c r="T138" s="19">
        <f>IF($H138&gt;0,'Calculation Constants'!$B$9*Hydraulics!$K138^2/2/9.81/MAX($F$4:$F$263)*$H138,"")</f>
        <v>3.3925755153643114E-2</v>
      </c>
      <c r="U138" s="19">
        <f t="shared" si="74"/>
        <v>0.48661386692532022</v>
      </c>
      <c r="V138" s="19">
        <f t="shared" si="60"/>
        <v>0</v>
      </c>
      <c r="W138" s="19">
        <f t="shared" si="61"/>
        <v>173.34810879456688</v>
      </c>
      <c r="X138" s="23">
        <f t="shared" si="62"/>
        <v>1173.2651087945669</v>
      </c>
      <c r="Y138" s="22">
        <f>(1/(2*LOG(3.7*$I138/'Calculation Constants'!$B$3*1000)))^2</f>
        <v>9.4904462912918219E-3</v>
      </c>
      <c r="Z138" s="19">
        <f t="shared" si="63"/>
        <v>0.50734754464280807</v>
      </c>
      <c r="AA138" s="19">
        <f>IF($H138&gt;0,'Calculation Constants'!$B$9*Hydraulics!$K138^2/2/9.81/MAX($F$4:$F$263)*$H138,"")</f>
        <v>3.3925755153643114E-2</v>
      </c>
      <c r="AB138" s="19">
        <f t="shared" si="82"/>
        <v>0.54127329979645122</v>
      </c>
      <c r="AC138" s="19">
        <f t="shared" si="64"/>
        <v>0</v>
      </c>
      <c r="AD138" s="19">
        <f t="shared" si="75"/>
        <v>172.20026070427218</v>
      </c>
      <c r="AE138" s="23">
        <f t="shared" si="65"/>
        <v>1172.1172607042722</v>
      </c>
      <c r="AF138" s="27">
        <f>(1/(2*LOG(3.7*$I138/'Calculation Constants'!$B$4*1000)))^2</f>
        <v>1.1152845500629007E-2</v>
      </c>
      <c r="AG138" s="19">
        <f t="shared" si="66"/>
        <v>0.59621735446906032</v>
      </c>
      <c r="AH138" s="19">
        <f>IF($H138&gt;0,'Calculation Constants'!$B$9*Hydraulics!$K138^2/2/9.81/MAX($F$4:$F$263)*$H138,"")</f>
        <v>3.3925755153643114E-2</v>
      </c>
      <c r="AI138" s="19">
        <f t="shared" si="76"/>
        <v>0.63014310962270348</v>
      </c>
      <c r="AJ138" s="19">
        <f t="shared" si="67"/>
        <v>0</v>
      </c>
      <c r="AK138" s="19">
        <f t="shared" si="77"/>
        <v>170.33399469792482</v>
      </c>
      <c r="AL138" s="23">
        <f t="shared" si="68"/>
        <v>1170.2509946979249</v>
      </c>
      <c r="AM138" s="22">
        <f>(1/(2*LOG(3.7*($I138-0.008)/'Calculation Constants'!$B$5*1000)))^2</f>
        <v>1.4104604303736145E-2</v>
      </c>
      <c r="AN138" s="19">
        <f t="shared" si="78"/>
        <v>0.75676661531854661</v>
      </c>
      <c r="AO138" s="19">
        <f>IF($H138&gt;0,'Calculation Constants'!$B$9*Hydraulics!$K138^2/2/9.81/MAX($F$4:$F$263)*$H138,"")</f>
        <v>3.3925755153643114E-2</v>
      </c>
      <c r="AP138" s="19">
        <f t="shared" si="79"/>
        <v>0.79069237047218976</v>
      </c>
      <c r="AQ138" s="19">
        <f t="shared" si="69"/>
        <v>0</v>
      </c>
      <c r="AR138" s="19">
        <f t="shared" si="80"/>
        <v>166.96246022008279</v>
      </c>
      <c r="AS138" s="23">
        <f t="shared" si="70"/>
        <v>1166.8794602200828</v>
      </c>
    </row>
    <row r="139" spans="5:45">
      <c r="E139" s="35" t="str">
        <f t="shared" si="56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1"/>
        <v>2</v>
      </c>
      <c r="I139" s="19">
        <v>2.2000000000000002</v>
      </c>
      <c r="J139" s="36">
        <f>'Flow Rate Calculations'!$B$7</f>
        <v>4.0831050228310497</v>
      </c>
      <c r="K139" s="36">
        <f t="shared" si="71"/>
        <v>1.0741261942924094</v>
      </c>
      <c r="L139" s="37">
        <f>$I139*$K139/'Calculation Constants'!$B$7</f>
        <v>2091219.139330355</v>
      </c>
      <c r="M139" s="37" t="str">
        <f t="shared" si="57"/>
        <v>Greater Dynamic Pressures</v>
      </c>
      <c r="N139" s="23">
        <f t="shared" si="72"/>
        <v>168.15549492764148</v>
      </c>
      <c r="O139" s="57">
        <f t="shared" si="58"/>
        <v>166.95298740447561</v>
      </c>
      <c r="P139" s="66">
        <f>MAX(I139*1000/'Calculation Constants'!$B$14,O139*10*I139*1000/2/('Calculation Constants'!$B$12*1000*'Calculation Constants'!$B$13))</f>
        <v>13.75</v>
      </c>
      <c r="Q139" s="68">
        <f t="shared" si="59"/>
        <v>1482695.7604373412</v>
      </c>
      <c r="R139" s="27">
        <f>(1/(2*LOG(3.7*$I139/'Calculation Constants'!$B$2*1000)))^2</f>
        <v>8.4679866037394684E-3</v>
      </c>
      <c r="S139" s="19">
        <f t="shared" si="73"/>
        <v>0.45268811177167712</v>
      </c>
      <c r="T139" s="19">
        <f>IF($H139&gt;0,'Calculation Constants'!$B$9*Hydraulics!$K139^2/2/9.81/MAX($F$4:$F$263)*$H139,"")</f>
        <v>3.3925755153643114E-2</v>
      </c>
      <c r="U139" s="19">
        <f t="shared" si="74"/>
        <v>0.48661386692532022</v>
      </c>
      <c r="V139" s="19">
        <f t="shared" si="60"/>
        <v>0</v>
      </c>
      <c r="W139" s="19">
        <f t="shared" si="61"/>
        <v>168.15549492764148</v>
      </c>
      <c r="X139" s="23">
        <f t="shared" si="62"/>
        <v>1172.7784949276415</v>
      </c>
      <c r="Y139" s="22">
        <f>(1/(2*LOG(3.7*$I139/'Calculation Constants'!$B$3*1000)))^2</f>
        <v>9.4904462912918219E-3</v>
      </c>
      <c r="Z139" s="19">
        <f t="shared" si="63"/>
        <v>0.50734754464280807</v>
      </c>
      <c r="AA139" s="19">
        <f>IF($H139&gt;0,'Calculation Constants'!$B$9*Hydraulics!$K139^2/2/9.81/MAX($F$4:$F$263)*$H139,"")</f>
        <v>3.3925755153643114E-2</v>
      </c>
      <c r="AB139" s="19">
        <f t="shared" si="82"/>
        <v>0.54127329979645122</v>
      </c>
      <c r="AC139" s="19">
        <f t="shared" si="64"/>
        <v>0</v>
      </c>
      <c r="AD139" s="19">
        <f t="shared" si="75"/>
        <v>166.95298740447561</v>
      </c>
      <c r="AE139" s="23">
        <f t="shared" si="65"/>
        <v>1171.5759874044757</v>
      </c>
      <c r="AF139" s="27">
        <f>(1/(2*LOG(3.7*$I139/'Calculation Constants'!$B$4*1000)))^2</f>
        <v>1.1152845500629007E-2</v>
      </c>
      <c r="AG139" s="19">
        <f t="shared" si="66"/>
        <v>0.59621735446906032</v>
      </c>
      <c r="AH139" s="19">
        <f>IF($H139&gt;0,'Calculation Constants'!$B$9*Hydraulics!$K139^2/2/9.81/MAX($F$4:$F$263)*$H139,"")</f>
        <v>3.3925755153643114E-2</v>
      </c>
      <c r="AI139" s="19">
        <f t="shared" si="76"/>
        <v>0.63014310962270348</v>
      </c>
      <c r="AJ139" s="19">
        <f t="shared" si="67"/>
        <v>0</v>
      </c>
      <c r="AK139" s="19">
        <f t="shared" si="77"/>
        <v>164.99785158830218</v>
      </c>
      <c r="AL139" s="23">
        <f t="shared" si="68"/>
        <v>1169.6208515883022</v>
      </c>
      <c r="AM139" s="22">
        <f>(1/(2*LOG(3.7*($I139-0.008)/'Calculation Constants'!$B$5*1000)))^2</f>
        <v>1.4104604303736145E-2</v>
      </c>
      <c r="AN139" s="19">
        <f t="shared" si="78"/>
        <v>0.75676661531854661</v>
      </c>
      <c r="AO139" s="19">
        <f>IF($H139&gt;0,'Calculation Constants'!$B$9*Hydraulics!$K139^2/2/9.81/MAX($F$4:$F$263)*$H139,"")</f>
        <v>3.3925755153643114E-2</v>
      </c>
      <c r="AP139" s="19">
        <f t="shared" si="79"/>
        <v>0.79069237047218976</v>
      </c>
      <c r="AQ139" s="19">
        <f t="shared" si="69"/>
        <v>0</v>
      </c>
      <c r="AR139" s="19">
        <f t="shared" si="80"/>
        <v>161.46576784961053</v>
      </c>
      <c r="AS139" s="23">
        <f t="shared" si="70"/>
        <v>1166.0887678496106</v>
      </c>
    </row>
    <row r="140" spans="5:45">
      <c r="E140" s="35" t="str">
        <f t="shared" si="56"/>
        <v/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1"/>
        <v>2</v>
      </c>
      <c r="I140" s="19">
        <v>2.2000000000000002</v>
      </c>
      <c r="J140" s="36">
        <f>'Flow Rate Calculations'!$B$7</f>
        <v>4.0831050228310497</v>
      </c>
      <c r="K140" s="36">
        <f t="shared" si="71"/>
        <v>1.0741261942924094</v>
      </c>
      <c r="L140" s="37">
        <f>$I140*$K140/'Calculation Constants'!$B$7</f>
        <v>2091219.139330355</v>
      </c>
      <c r="M140" s="37" t="str">
        <f t="shared" si="57"/>
        <v>Greater Dynamic Pressures</v>
      </c>
      <c r="N140" s="23">
        <f t="shared" si="72"/>
        <v>163.47288106071619</v>
      </c>
      <c r="O140" s="57">
        <f t="shared" si="58"/>
        <v>162.21571410467914</v>
      </c>
      <c r="P140" s="66">
        <f>MAX(I140*1000/'Calculation Constants'!$B$14,O140*10*I140*1000/2/('Calculation Constants'!$B$12*1000*'Calculation Constants'!$B$13))</f>
        <v>13.75</v>
      </c>
      <c r="Q140" s="68">
        <f t="shared" si="59"/>
        <v>1482695.7604373412</v>
      </c>
      <c r="R140" s="27">
        <f>(1/(2*LOG(3.7*$I140/'Calculation Constants'!$B$2*1000)))^2</f>
        <v>8.4679866037394684E-3</v>
      </c>
      <c r="S140" s="19">
        <f t="shared" si="73"/>
        <v>0.45268811177167712</v>
      </c>
      <c r="T140" s="19">
        <f>IF($H140&gt;0,'Calculation Constants'!$B$9*Hydraulics!$K140^2/2/9.81/MAX($F$4:$F$263)*$H140,"")</f>
        <v>3.3925755153643114E-2</v>
      </c>
      <c r="U140" s="19">
        <f t="shared" si="74"/>
        <v>0.48661386692532022</v>
      </c>
      <c r="V140" s="19">
        <f t="shared" si="60"/>
        <v>0</v>
      </c>
      <c r="W140" s="19">
        <f t="shared" si="61"/>
        <v>163.47288106071619</v>
      </c>
      <c r="X140" s="23">
        <f t="shared" si="62"/>
        <v>1172.2918810607162</v>
      </c>
      <c r="Y140" s="22">
        <f>(1/(2*LOG(3.7*$I140/'Calculation Constants'!$B$3*1000)))^2</f>
        <v>9.4904462912918219E-3</v>
      </c>
      <c r="Z140" s="19">
        <f t="shared" si="63"/>
        <v>0.50734754464280807</v>
      </c>
      <c r="AA140" s="19">
        <f>IF($H140&gt;0,'Calculation Constants'!$B$9*Hydraulics!$K140^2/2/9.81/MAX($F$4:$F$263)*$H140,"")</f>
        <v>3.3925755153643114E-2</v>
      </c>
      <c r="AB140" s="19">
        <f t="shared" si="82"/>
        <v>0.54127329979645122</v>
      </c>
      <c r="AC140" s="19">
        <f t="shared" si="64"/>
        <v>0</v>
      </c>
      <c r="AD140" s="19">
        <f t="shared" si="75"/>
        <v>162.21571410467914</v>
      </c>
      <c r="AE140" s="23">
        <f t="shared" si="65"/>
        <v>1171.0347141046791</v>
      </c>
      <c r="AF140" s="27">
        <f>(1/(2*LOG(3.7*$I140/'Calculation Constants'!$B$4*1000)))^2</f>
        <v>1.1152845500629007E-2</v>
      </c>
      <c r="AG140" s="19">
        <f t="shared" si="66"/>
        <v>0.59621735446906032</v>
      </c>
      <c r="AH140" s="19">
        <f>IF($H140&gt;0,'Calculation Constants'!$B$9*Hydraulics!$K140^2/2/9.81/MAX($F$4:$F$263)*$H140,"")</f>
        <v>3.3925755153643114E-2</v>
      </c>
      <c r="AI140" s="19">
        <f t="shared" si="76"/>
        <v>0.63014310962270348</v>
      </c>
      <c r="AJ140" s="19">
        <f t="shared" si="67"/>
        <v>0</v>
      </c>
      <c r="AK140" s="19">
        <f t="shared" si="77"/>
        <v>160.17170847867965</v>
      </c>
      <c r="AL140" s="23">
        <f t="shared" si="68"/>
        <v>1168.9907084786796</v>
      </c>
      <c r="AM140" s="22">
        <f>(1/(2*LOG(3.7*($I140-0.008)/'Calculation Constants'!$B$5*1000)))^2</f>
        <v>1.4104604303736145E-2</v>
      </c>
      <c r="AN140" s="19">
        <f t="shared" si="78"/>
        <v>0.75676661531854661</v>
      </c>
      <c r="AO140" s="19">
        <f>IF($H140&gt;0,'Calculation Constants'!$B$9*Hydraulics!$K140^2/2/9.81/MAX($F$4:$F$263)*$H140,"")</f>
        <v>3.3925755153643114E-2</v>
      </c>
      <c r="AP140" s="19">
        <f t="shared" si="79"/>
        <v>0.79069237047218976</v>
      </c>
      <c r="AQ140" s="19">
        <f t="shared" si="69"/>
        <v>0</v>
      </c>
      <c r="AR140" s="19">
        <f t="shared" si="80"/>
        <v>156.47907547913837</v>
      </c>
      <c r="AS140" s="23">
        <f t="shared" si="70"/>
        <v>1165.2980754791383</v>
      </c>
    </row>
    <row r="141" spans="5:45">
      <c r="E141" s="35" t="str">
        <f t="shared" si="56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1"/>
        <v>2</v>
      </c>
      <c r="I141" s="19">
        <v>2.2000000000000002</v>
      </c>
      <c r="J141" s="36">
        <f>'Flow Rate Calculations'!$B$7</f>
        <v>4.0831050228310497</v>
      </c>
      <c r="K141" s="36">
        <f t="shared" si="71"/>
        <v>1.0741261942924094</v>
      </c>
      <c r="L141" s="37">
        <f>$I141*$K141/'Calculation Constants'!$B$7</f>
        <v>2091219.139330355</v>
      </c>
      <c r="M141" s="37" t="str">
        <f t="shared" si="57"/>
        <v>Greater Dynamic Pressures</v>
      </c>
      <c r="N141" s="23">
        <f t="shared" si="72"/>
        <v>163.97126719379082</v>
      </c>
      <c r="O141" s="57">
        <f t="shared" si="58"/>
        <v>162.65944080488259</v>
      </c>
      <c r="P141" s="66">
        <f>MAX(I141*1000/'Calculation Constants'!$B$14,O141*10*I141*1000/2/('Calculation Constants'!$B$12*1000*'Calculation Constants'!$B$13))</f>
        <v>13.75</v>
      </c>
      <c r="Q141" s="68">
        <f t="shared" si="59"/>
        <v>1482695.7604373412</v>
      </c>
      <c r="R141" s="27">
        <f>(1/(2*LOG(3.7*$I141/'Calculation Constants'!$B$2*1000)))^2</f>
        <v>8.4679866037394684E-3</v>
      </c>
      <c r="S141" s="19">
        <f t="shared" si="73"/>
        <v>0.45268811177167712</v>
      </c>
      <c r="T141" s="19">
        <f>IF($H141&gt;0,'Calculation Constants'!$B$9*Hydraulics!$K141^2/2/9.81/MAX($F$4:$F$263)*$H141,"")</f>
        <v>3.3925755153643114E-2</v>
      </c>
      <c r="U141" s="19">
        <f t="shared" si="74"/>
        <v>0.48661386692532022</v>
      </c>
      <c r="V141" s="19">
        <f t="shared" si="60"/>
        <v>0</v>
      </c>
      <c r="W141" s="19">
        <f t="shared" si="61"/>
        <v>163.97126719379082</v>
      </c>
      <c r="X141" s="23">
        <f t="shared" si="62"/>
        <v>1171.8052671937908</v>
      </c>
      <c r="Y141" s="22">
        <f>(1/(2*LOG(3.7*$I141/'Calculation Constants'!$B$3*1000)))^2</f>
        <v>9.4904462912918219E-3</v>
      </c>
      <c r="Z141" s="19">
        <f t="shared" si="63"/>
        <v>0.50734754464280807</v>
      </c>
      <c r="AA141" s="19">
        <f>IF($H141&gt;0,'Calculation Constants'!$B$9*Hydraulics!$K141^2/2/9.81/MAX($F$4:$F$263)*$H141,"")</f>
        <v>3.3925755153643114E-2</v>
      </c>
      <c r="AB141" s="19">
        <f t="shared" si="82"/>
        <v>0.54127329979645122</v>
      </c>
      <c r="AC141" s="19">
        <f t="shared" si="64"/>
        <v>0</v>
      </c>
      <c r="AD141" s="19">
        <f t="shared" si="75"/>
        <v>162.65944080488259</v>
      </c>
      <c r="AE141" s="23">
        <f t="shared" si="65"/>
        <v>1170.4934408048825</v>
      </c>
      <c r="AF141" s="27">
        <f>(1/(2*LOG(3.7*$I141/'Calculation Constants'!$B$4*1000)))^2</f>
        <v>1.1152845500629007E-2</v>
      </c>
      <c r="AG141" s="19">
        <f t="shared" si="66"/>
        <v>0.59621735446906032</v>
      </c>
      <c r="AH141" s="19">
        <f>IF($H141&gt;0,'Calculation Constants'!$B$9*Hydraulics!$K141^2/2/9.81/MAX($F$4:$F$263)*$H141,"")</f>
        <v>3.3925755153643114E-2</v>
      </c>
      <c r="AI141" s="19">
        <f t="shared" si="76"/>
        <v>0.63014310962270348</v>
      </c>
      <c r="AJ141" s="19">
        <f t="shared" si="67"/>
        <v>0</v>
      </c>
      <c r="AK141" s="19">
        <f t="shared" si="77"/>
        <v>160.52656536905704</v>
      </c>
      <c r="AL141" s="23">
        <f t="shared" si="68"/>
        <v>1168.360565369057</v>
      </c>
      <c r="AM141" s="22">
        <f>(1/(2*LOG(3.7*($I141-0.008)/'Calculation Constants'!$B$5*1000)))^2</f>
        <v>1.4104604303736145E-2</v>
      </c>
      <c r="AN141" s="19">
        <f t="shared" si="78"/>
        <v>0.75676661531854661</v>
      </c>
      <c r="AO141" s="19">
        <f>IF($H141&gt;0,'Calculation Constants'!$B$9*Hydraulics!$K141^2/2/9.81/MAX($F$4:$F$263)*$H141,"")</f>
        <v>3.3925755153643114E-2</v>
      </c>
      <c r="AP141" s="19">
        <f t="shared" si="79"/>
        <v>0.79069237047218976</v>
      </c>
      <c r="AQ141" s="19">
        <f t="shared" si="69"/>
        <v>0</v>
      </c>
      <c r="AR141" s="19">
        <f t="shared" si="80"/>
        <v>156.67338310866614</v>
      </c>
      <c r="AS141" s="23">
        <f t="shared" si="70"/>
        <v>1164.5073831086661</v>
      </c>
    </row>
    <row r="142" spans="5:45">
      <c r="E142" s="35" t="str">
        <f t="shared" si="56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1"/>
        <v>2</v>
      </c>
      <c r="I142" s="19">
        <v>2.2000000000000002</v>
      </c>
      <c r="J142" s="36">
        <f>'Flow Rate Calculations'!$B$7</f>
        <v>4.0831050228310497</v>
      </c>
      <c r="K142" s="36">
        <f t="shared" si="71"/>
        <v>1.0741261942924094</v>
      </c>
      <c r="L142" s="37">
        <f>$I142*$K142/'Calculation Constants'!$B$7</f>
        <v>2091219.139330355</v>
      </c>
      <c r="M142" s="37" t="str">
        <f t="shared" si="57"/>
        <v>Greater Dynamic Pressures</v>
      </c>
      <c r="N142" s="23">
        <f t="shared" si="72"/>
        <v>165.69265332686541</v>
      </c>
      <c r="O142" s="57">
        <f t="shared" si="58"/>
        <v>164.326167505086</v>
      </c>
      <c r="P142" s="66">
        <f>MAX(I142*1000/'Calculation Constants'!$B$14,O142*10*I142*1000/2/('Calculation Constants'!$B$12*1000*'Calculation Constants'!$B$13))</f>
        <v>13.75</v>
      </c>
      <c r="Q142" s="68">
        <f t="shared" si="59"/>
        <v>1482695.7604373412</v>
      </c>
      <c r="R142" s="27">
        <f>(1/(2*LOG(3.7*$I142/'Calculation Constants'!$B$2*1000)))^2</f>
        <v>8.4679866037394684E-3</v>
      </c>
      <c r="S142" s="19">
        <f t="shared" si="73"/>
        <v>0.45268811177167712</v>
      </c>
      <c r="T142" s="19">
        <f>IF($H142&gt;0,'Calculation Constants'!$B$9*Hydraulics!$K142^2/2/9.81/MAX($F$4:$F$263)*$H142,"")</f>
        <v>3.3925755153643114E-2</v>
      </c>
      <c r="U142" s="19">
        <f t="shared" si="74"/>
        <v>0.48661386692532022</v>
      </c>
      <c r="V142" s="19">
        <f t="shared" si="60"/>
        <v>0</v>
      </c>
      <c r="W142" s="19">
        <f t="shared" si="61"/>
        <v>165.69265332686541</v>
      </c>
      <c r="X142" s="23">
        <f t="shared" si="62"/>
        <v>1171.3186533268654</v>
      </c>
      <c r="Y142" s="22">
        <f>(1/(2*LOG(3.7*$I142/'Calculation Constants'!$B$3*1000)))^2</f>
        <v>9.4904462912918219E-3</v>
      </c>
      <c r="Z142" s="19">
        <f t="shared" si="63"/>
        <v>0.50734754464280807</v>
      </c>
      <c r="AA142" s="19">
        <f>IF($H142&gt;0,'Calculation Constants'!$B$9*Hydraulics!$K142^2/2/9.81/MAX($F$4:$F$263)*$H142,"")</f>
        <v>3.3925755153643114E-2</v>
      </c>
      <c r="AB142" s="19">
        <f t="shared" si="82"/>
        <v>0.54127329979645122</v>
      </c>
      <c r="AC142" s="19">
        <f t="shared" si="64"/>
        <v>0</v>
      </c>
      <c r="AD142" s="19">
        <f t="shared" si="75"/>
        <v>164.326167505086</v>
      </c>
      <c r="AE142" s="23">
        <f t="shared" si="65"/>
        <v>1169.952167505086</v>
      </c>
      <c r="AF142" s="27">
        <f>(1/(2*LOG(3.7*$I142/'Calculation Constants'!$B$4*1000)))^2</f>
        <v>1.1152845500629007E-2</v>
      </c>
      <c r="AG142" s="19">
        <f t="shared" si="66"/>
        <v>0.59621735446906032</v>
      </c>
      <c r="AH142" s="19">
        <f>IF($H142&gt;0,'Calculation Constants'!$B$9*Hydraulics!$K142^2/2/9.81/MAX($F$4:$F$263)*$H142,"")</f>
        <v>3.3925755153643114E-2</v>
      </c>
      <c r="AI142" s="19">
        <f t="shared" si="76"/>
        <v>0.63014310962270348</v>
      </c>
      <c r="AJ142" s="19">
        <f t="shared" si="67"/>
        <v>0</v>
      </c>
      <c r="AK142" s="19">
        <f t="shared" si="77"/>
        <v>162.10442225943439</v>
      </c>
      <c r="AL142" s="23">
        <f t="shared" si="68"/>
        <v>1167.7304222594344</v>
      </c>
      <c r="AM142" s="22">
        <f>(1/(2*LOG(3.7*($I142-0.008)/'Calculation Constants'!$B$5*1000)))^2</f>
        <v>1.4104604303736145E-2</v>
      </c>
      <c r="AN142" s="19">
        <f t="shared" si="78"/>
        <v>0.75676661531854661</v>
      </c>
      <c r="AO142" s="19">
        <f>IF($H142&gt;0,'Calculation Constants'!$B$9*Hydraulics!$K142^2/2/9.81/MAX($F$4:$F$263)*$H142,"")</f>
        <v>3.3925755153643114E-2</v>
      </c>
      <c r="AP142" s="19">
        <f t="shared" si="79"/>
        <v>0.79069237047218976</v>
      </c>
      <c r="AQ142" s="19">
        <f t="shared" si="69"/>
        <v>0</v>
      </c>
      <c r="AR142" s="19">
        <f t="shared" si="80"/>
        <v>158.09069073819387</v>
      </c>
      <c r="AS142" s="23">
        <f t="shared" si="70"/>
        <v>1163.7166907381938</v>
      </c>
    </row>
    <row r="143" spans="5:45">
      <c r="E143" s="35" t="str">
        <f t="shared" si="56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1"/>
        <v>2</v>
      </c>
      <c r="I143" s="19">
        <v>2.2000000000000002</v>
      </c>
      <c r="J143" s="36">
        <f>'Flow Rate Calculations'!$B$7</f>
        <v>4.0831050228310497</v>
      </c>
      <c r="K143" s="36">
        <f t="shared" si="71"/>
        <v>1.0741261942924094</v>
      </c>
      <c r="L143" s="37">
        <f>$I143*$K143/'Calculation Constants'!$B$7</f>
        <v>2091219.139330355</v>
      </c>
      <c r="M143" s="37" t="str">
        <f t="shared" si="57"/>
        <v>Greater Dynamic Pressures</v>
      </c>
      <c r="N143" s="23">
        <f t="shared" si="72"/>
        <v>169.20903945993996</v>
      </c>
      <c r="O143" s="57">
        <f t="shared" si="58"/>
        <v>167.78789420528938</v>
      </c>
      <c r="P143" s="66">
        <f>MAX(I143*1000/'Calculation Constants'!$B$14,O143*10*I143*1000/2/('Calculation Constants'!$B$12*1000*'Calculation Constants'!$B$13))</f>
        <v>13.75</v>
      </c>
      <c r="Q143" s="68">
        <f t="shared" si="59"/>
        <v>1482695.7604373412</v>
      </c>
      <c r="R143" s="27">
        <f>(1/(2*LOG(3.7*$I143/'Calculation Constants'!$B$2*1000)))^2</f>
        <v>8.4679866037394684E-3</v>
      </c>
      <c r="S143" s="19">
        <f t="shared" si="73"/>
        <v>0.45268811177167712</v>
      </c>
      <c r="T143" s="19">
        <f>IF($H143&gt;0,'Calculation Constants'!$B$9*Hydraulics!$K143^2/2/9.81/MAX($F$4:$F$263)*$H143,"")</f>
        <v>3.3925755153643114E-2</v>
      </c>
      <c r="U143" s="19">
        <f t="shared" si="74"/>
        <v>0.48661386692532022</v>
      </c>
      <c r="V143" s="19">
        <f t="shared" si="60"/>
        <v>0</v>
      </c>
      <c r="W143" s="19">
        <f t="shared" si="61"/>
        <v>169.20903945993996</v>
      </c>
      <c r="X143" s="23">
        <f t="shared" si="62"/>
        <v>1170.83203945994</v>
      </c>
      <c r="Y143" s="22">
        <f>(1/(2*LOG(3.7*$I143/'Calculation Constants'!$B$3*1000)))^2</f>
        <v>9.4904462912918219E-3</v>
      </c>
      <c r="Z143" s="19">
        <f t="shared" si="63"/>
        <v>0.50734754464280807</v>
      </c>
      <c r="AA143" s="19">
        <f>IF($H143&gt;0,'Calculation Constants'!$B$9*Hydraulics!$K143^2/2/9.81/MAX($F$4:$F$263)*$H143,"")</f>
        <v>3.3925755153643114E-2</v>
      </c>
      <c r="AB143" s="19">
        <f t="shared" si="82"/>
        <v>0.54127329979645122</v>
      </c>
      <c r="AC143" s="19">
        <f t="shared" si="64"/>
        <v>0</v>
      </c>
      <c r="AD143" s="19">
        <f t="shared" si="75"/>
        <v>167.78789420528938</v>
      </c>
      <c r="AE143" s="23">
        <f t="shared" si="65"/>
        <v>1169.4108942052894</v>
      </c>
      <c r="AF143" s="27">
        <f>(1/(2*LOG(3.7*$I143/'Calculation Constants'!$B$4*1000)))^2</f>
        <v>1.1152845500629007E-2</v>
      </c>
      <c r="AG143" s="19">
        <f t="shared" si="66"/>
        <v>0.59621735446906032</v>
      </c>
      <c r="AH143" s="19">
        <f>IF($H143&gt;0,'Calculation Constants'!$B$9*Hydraulics!$K143^2/2/9.81/MAX($F$4:$F$263)*$H143,"")</f>
        <v>3.3925755153643114E-2</v>
      </c>
      <c r="AI143" s="19">
        <f t="shared" si="76"/>
        <v>0.63014310962270348</v>
      </c>
      <c r="AJ143" s="19">
        <f t="shared" si="67"/>
        <v>0</v>
      </c>
      <c r="AK143" s="19">
        <f t="shared" si="77"/>
        <v>165.47727914981169</v>
      </c>
      <c r="AL143" s="23">
        <f t="shared" si="68"/>
        <v>1167.1002791498117</v>
      </c>
      <c r="AM143" s="22">
        <f>(1/(2*LOG(3.7*($I143-0.008)/'Calculation Constants'!$B$5*1000)))^2</f>
        <v>1.4104604303736145E-2</v>
      </c>
      <c r="AN143" s="19">
        <f t="shared" si="78"/>
        <v>0.75676661531854661</v>
      </c>
      <c r="AO143" s="19">
        <f>IF($H143&gt;0,'Calculation Constants'!$B$9*Hydraulics!$K143^2/2/9.81/MAX($F$4:$F$263)*$H143,"")</f>
        <v>3.3925755153643114E-2</v>
      </c>
      <c r="AP143" s="19">
        <f t="shared" si="79"/>
        <v>0.79069237047218976</v>
      </c>
      <c r="AQ143" s="19">
        <f t="shared" si="69"/>
        <v>0</v>
      </c>
      <c r="AR143" s="19">
        <f t="shared" si="80"/>
        <v>161.30299836772156</v>
      </c>
      <c r="AS143" s="23">
        <f t="shared" si="70"/>
        <v>1162.9259983677216</v>
      </c>
    </row>
    <row r="144" spans="5:45">
      <c r="E144" s="35" t="str">
        <f t="shared" si="56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1"/>
        <v>2</v>
      </c>
      <c r="I144" s="19">
        <v>2.2000000000000002</v>
      </c>
      <c r="J144" s="36">
        <f>'Flow Rate Calculations'!$B$7</f>
        <v>4.0831050228310497</v>
      </c>
      <c r="K144" s="36">
        <f t="shared" si="71"/>
        <v>1.0741261942924094</v>
      </c>
      <c r="L144" s="37">
        <f>$I144*$K144/'Calculation Constants'!$B$7</f>
        <v>2091219.139330355</v>
      </c>
      <c r="M144" s="37" t="str">
        <f t="shared" si="57"/>
        <v>Greater Dynamic Pressures</v>
      </c>
      <c r="N144" s="23">
        <f t="shared" si="72"/>
        <v>166.2934255930146</v>
      </c>
      <c r="O144" s="57">
        <f t="shared" si="58"/>
        <v>164.81762090549284</v>
      </c>
      <c r="P144" s="66">
        <f>MAX(I144*1000/'Calculation Constants'!$B$14,O144*10*I144*1000/2/('Calculation Constants'!$B$12*1000*'Calculation Constants'!$B$13))</f>
        <v>13.75</v>
      </c>
      <c r="Q144" s="68">
        <f t="shared" si="59"/>
        <v>1482695.7604373412</v>
      </c>
      <c r="R144" s="27">
        <f>(1/(2*LOG(3.7*$I144/'Calculation Constants'!$B$2*1000)))^2</f>
        <v>8.4679866037394684E-3</v>
      </c>
      <c r="S144" s="19">
        <f t="shared" si="73"/>
        <v>0.45268811177167712</v>
      </c>
      <c r="T144" s="19">
        <f>IF($H144&gt;0,'Calculation Constants'!$B$9*Hydraulics!$K144^2/2/9.81/MAX($F$4:$F$263)*$H144,"")</f>
        <v>3.3925755153643114E-2</v>
      </c>
      <c r="U144" s="19">
        <f t="shared" si="74"/>
        <v>0.48661386692532022</v>
      </c>
      <c r="V144" s="19">
        <f t="shared" si="60"/>
        <v>0</v>
      </c>
      <c r="W144" s="19">
        <f t="shared" si="61"/>
        <v>166.2934255930146</v>
      </c>
      <c r="X144" s="23">
        <f t="shared" si="62"/>
        <v>1170.3454255930146</v>
      </c>
      <c r="Y144" s="22">
        <f>(1/(2*LOG(3.7*$I144/'Calculation Constants'!$B$3*1000)))^2</f>
        <v>9.4904462912918219E-3</v>
      </c>
      <c r="Z144" s="19">
        <f t="shared" si="63"/>
        <v>0.50734754464280807</v>
      </c>
      <c r="AA144" s="19">
        <f>IF($H144&gt;0,'Calculation Constants'!$B$9*Hydraulics!$K144^2/2/9.81/MAX($F$4:$F$263)*$H144,"")</f>
        <v>3.3925755153643114E-2</v>
      </c>
      <c r="AB144" s="19">
        <f t="shared" si="82"/>
        <v>0.54127329979645122</v>
      </c>
      <c r="AC144" s="19">
        <f t="shared" si="64"/>
        <v>0</v>
      </c>
      <c r="AD144" s="19">
        <f t="shared" si="75"/>
        <v>164.81762090549284</v>
      </c>
      <c r="AE144" s="23">
        <f t="shared" si="65"/>
        <v>1168.8696209054929</v>
      </c>
      <c r="AF144" s="27">
        <f>(1/(2*LOG(3.7*$I144/'Calculation Constants'!$B$4*1000)))^2</f>
        <v>1.1152845500629007E-2</v>
      </c>
      <c r="AG144" s="19">
        <f t="shared" si="66"/>
        <v>0.59621735446906032</v>
      </c>
      <c r="AH144" s="19">
        <f>IF($H144&gt;0,'Calculation Constants'!$B$9*Hydraulics!$K144^2/2/9.81/MAX($F$4:$F$263)*$H144,"")</f>
        <v>3.3925755153643114E-2</v>
      </c>
      <c r="AI144" s="19">
        <f t="shared" si="76"/>
        <v>0.63014310962270348</v>
      </c>
      <c r="AJ144" s="19">
        <f t="shared" si="67"/>
        <v>0</v>
      </c>
      <c r="AK144" s="19">
        <f t="shared" si="77"/>
        <v>162.4181360401891</v>
      </c>
      <c r="AL144" s="23">
        <f t="shared" si="68"/>
        <v>1166.4701360401891</v>
      </c>
      <c r="AM144" s="22">
        <f>(1/(2*LOG(3.7*($I144-0.008)/'Calculation Constants'!$B$5*1000)))^2</f>
        <v>1.4104604303736145E-2</v>
      </c>
      <c r="AN144" s="19">
        <f t="shared" si="78"/>
        <v>0.75676661531854661</v>
      </c>
      <c r="AO144" s="19">
        <f>IF($H144&gt;0,'Calculation Constants'!$B$9*Hydraulics!$K144^2/2/9.81/MAX($F$4:$F$263)*$H144,"")</f>
        <v>3.3925755153643114E-2</v>
      </c>
      <c r="AP144" s="19">
        <f t="shared" si="79"/>
        <v>0.79069237047218976</v>
      </c>
      <c r="AQ144" s="19">
        <f t="shared" si="69"/>
        <v>0</v>
      </c>
      <c r="AR144" s="19">
        <f t="shared" si="80"/>
        <v>158.08330599724934</v>
      </c>
      <c r="AS144" s="23">
        <f t="shared" si="70"/>
        <v>1162.1353059972494</v>
      </c>
    </row>
    <row r="145" spans="5:45">
      <c r="E145" s="35" t="str">
        <f t="shared" si="56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1"/>
        <v>2</v>
      </c>
      <c r="I145" s="19">
        <v>2.2000000000000002</v>
      </c>
      <c r="J145" s="36">
        <f>'Flow Rate Calculations'!$B$7</f>
        <v>4.0831050228310497</v>
      </c>
      <c r="K145" s="36">
        <f t="shared" si="71"/>
        <v>1.0741261942924094</v>
      </c>
      <c r="L145" s="37">
        <f>$I145*$K145/'Calculation Constants'!$B$7</f>
        <v>2091219.139330355</v>
      </c>
      <c r="M145" s="37" t="str">
        <f t="shared" si="57"/>
        <v>Greater Dynamic Pressures</v>
      </c>
      <c r="N145" s="23">
        <f t="shared" si="72"/>
        <v>159.06181172608922</v>
      </c>
      <c r="O145" s="57">
        <f t="shared" si="58"/>
        <v>157.53134760569628</v>
      </c>
      <c r="P145" s="66">
        <f>MAX(I145*1000/'Calculation Constants'!$B$14,O145*10*I145*1000/2/('Calculation Constants'!$B$12*1000*'Calculation Constants'!$B$13))</f>
        <v>13.75</v>
      </c>
      <c r="Q145" s="68">
        <f t="shared" si="59"/>
        <v>1482695.7604373412</v>
      </c>
      <c r="R145" s="27">
        <f>(1/(2*LOG(3.7*$I145/'Calculation Constants'!$B$2*1000)))^2</f>
        <v>8.4679866037394684E-3</v>
      </c>
      <c r="S145" s="19">
        <f t="shared" si="73"/>
        <v>0.45268811177167712</v>
      </c>
      <c r="T145" s="19">
        <f>IF($H145&gt;0,'Calculation Constants'!$B$9*Hydraulics!$K145^2/2/9.81/MAX($F$4:$F$263)*$H145,"")</f>
        <v>3.3925755153643114E-2</v>
      </c>
      <c r="U145" s="19">
        <f t="shared" si="74"/>
        <v>0.48661386692532022</v>
      </c>
      <c r="V145" s="19">
        <f t="shared" si="60"/>
        <v>0</v>
      </c>
      <c r="W145" s="19">
        <f t="shared" si="61"/>
        <v>159.06181172608922</v>
      </c>
      <c r="X145" s="23">
        <f t="shared" si="62"/>
        <v>1169.8588117260892</v>
      </c>
      <c r="Y145" s="22">
        <f>(1/(2*LOG(3.7*$I145/'Calculation Constants'!$B$3*1000)))^2</f>
        <v>9.4904462912918219E-3</v>
      </c>
      <c r="Z145" s="19">
        <f t="shared" si="63"/>
        <v>0.50734754464280807</v>
      </c>
      <c r="AA145" s="19">
        <f>IF($H145&gt;0,'Calculation Constants'!$B$9*Hydraulics!$K145^2/2/9.81/MAX($F$4:$F$263)*$H145,"")</f>
        <v>3.3925755153643114E-2</v>
      </c>
      <c r="AB145" s="19">
        <f t="shared" si="82"/>
        <v>0.54127329979645122</v>
      </c>
      <c r="AC145" s="19">
        <f t="shared" si="64"/>
        <v>0</v>
      </c>
      <c r="AD145" s="19">
        <f t="shared" si="75"/>
        <v>157.53134760569628</v>
      </c>
      <c r="AE145" s="23">
        <f t="shared" si="65"/>
        <v>1168.3283476056963</v>
      </c>
      <c r="AF145" s="27">
        <f>(1/(2*LOG(3.7*$I145/'Calculation Constants'!$B$4*1000)))^2</f>
        <v>1.1152845500629007E-2</v>
      </c>
      <c r="AG145" s="19">
        <f t="shared" si="66"/>
        <v>0.59621735446906032</v>
      </c>
      <c r="AH145" s="19">
        <f>IF($H145&gt;0,'Calculation Constants'!$B$9*Hydraulics!$K145^2/2/9.81/MAX($F$4:$F$263)*$H145,"")</f>
        <v>3.3925755153643114E-2</v>
      </c>
      <c r="AI145" s="19">
        <f t="shared" si="76"/>
        <v>0.63014310962270348</v>
      </c>
      <c r="AJ145" s="19">
        <f t="shared" si="67"/>
        <v>0</v>
      </c>
      <c r="AK145" s="19">
        <f t="shared" si="77"/>
        <v>155.04299293056647</v>
      </c>
      <c r="AL145" s="23">
        <f t="shared" si="68"/>
        <v>1165.8399929305665</v>
      </c>
      <c r="AM145" s="22">
        <f>(1/(2*LOG(3.7*($I145-0.008)/'Calculation Constants'!$B$5*1000)))^2</f>
        <v>1.4104604303736145E-2</v>
      </c>
      <c r="AN145" s="19">
        <f t="shared" si="78"/>
        <v>0.75676661531854661</v>
      </c>
      <c r="AO145" s="19">
        <f>IF($H145&gt;0,'Calculation Constants'!$B$9*Hydraulics!$K145^2/2/9.81/MAX($F$4:$F$263)*$H145,"")</f>
        <v>3.3925755153643114E-2</v>
      </c>
      <c r="AP145" s="19">
        <f t="shared" si="79"/>
        <v>0.79069237047218976</v>
      </c>
      <c r="AQ145" s="19">
        <f t="shared" si="69"/>
        <v>0</v>
      </c>
      <c r="AR145" s="19">
        <f t="shared" si="80"/>
        <v>150.54761362677709</v>
      </c>
      <c r="AS145" s="23">
        <f t="shared" si="70"/>
        <v>1161.3446136267771</v>
      </c>
    </row>
    <row r="146" spans="5:45">
      <c r="E146" s="35" t="str">
        <f t="shared" si="56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1"/>
        <v>2</v>
      </c>
      <c r="I146" s="19">
        <v>2.2000000000000002</v>
      </c>
      <c r="J146" s="36">
        <f>'Flow Rate Calculations'!$B$7</f>
        <v>4.0831050228310497</v>
      </c>
      <c r="K146" s="36">
        <f t="shared" si="71"/>
        <v>1.0741261942924094</v>
      </c>
      <c r="L146" s="37">
        <f>$I146*$K146/'Calculation Constants'!$B$7</f>
        <v>2091219.139330355</v>
      </c>
      <c r="M146" s="37" t="str">
        <f t="shared" si="57"/>
        <v>Greater Dynamic Pressures</v>
      </c>
      <c r="N146" s="23">
        <f t="shared" si="72"/>
        <v>154.7021978591639</v>
      </c>
      <c r="O146" s="57">
        <f t="shared" si="58"/>
        <v>153.11707430589979</v>
      </c>
      <c r="P146" s="66">
        <f>MAX(I146*1000/'Calculation Constants'!$B$14,O146*10*I146*1000/2/('Calculation Constants'!$B$12*1000*'Calculation Constants'!$B$13))</f>
        <v>13.75</v>
      </c>
      <c r="Q146" s="68">
        <f t="shared" si="59"/>
        <v>1482695.7604373412</v>
      </c>
      <c r="R146" s="27">
        <f>(1/(2*LOG(3.7*$I146/'Calculation Constants'!$B$2*1000)))^2</f>
        <v>8.4679866037394684E-3</v>
      </c>
      <c r="S146" s="19">
        <f t="shared" si="73"/>
        <v>0.45268811177167712</v>
      </c>
      <c r="T146" s="19">
        <f>IF($H146&gt;0,'Calculation Constants'!$B$9*Hydraulics!$K146^2/2/9.81/MAX($F$4:$F$263)*$H146,"")</f>
        <v>3.3925755153643114E-2</v>
      </c>
      <c r="U146" s="19">
        <f t="shared" si="74"/>
        <v>0.48661386692532022</v>
      </c>
      <c r="V146" s="19">
        <f t="shared" si="60"/>
        <v>0</v>
      </c>
      <c r="W146" s="19">
        <f t="shared" si="61"/>
        <v>154.7021978591639</v>
      </c>
      <c r="X146" s="23">
        <f t="shared" si="62"/>
        <v>1169.3721978591639</v>
      </c>
      <c r="Y146" s="22">
        <f>(1/(2*LOG(3.7*$I146/'Calculation Constants'!$B$3*1000)))^2</f>
        <v>9.4904462912918219E-3</v>
      </c>
      <c r="Z146" s="19">
        <f t="shared" si="63"/>
        <v>0.50734754464280807</v>
      </c>
      <c r="AA146" s="19">
        <f>IF($H146&gt;0,'Calculation Constants'!$B$9*Hydraulics!$K146^2/2/9.81/MAX($F$4:$F$263)*$H146,"")</f>
        <v>3.3925755153643114E-2</v>
      </c>
      <c r="AB146" s="19">
        <f t="shared" si="82"/>
        <v>0.54127329979645122</v>
      </c>
      <c r="AC146" s="19">
        <f t="shared" si="64"/>
        <v>0</v>
      </c>
      <c r="AD146" s="19">
        <f t="shared" si="75"/>
        <v>153.11707430589979</v>
      </c>
      <c r="AE146" s="23">
        <f t="shared" si="65"/>
        <v>1167.7870743058998</v>
      </c>
      <c r="AF146" s="27">
        <f>(1/(2*LOG(3.7*$I146/'Calculation Constants'!$B$4*1000)))^2</f>
        <v>1.1152845500629007E-2</v>
      </c>
      <c r="AG146" s="19">
        <f t="shared" si="66"/>
        <v>0.59621735446906032</v>
      </c>
      <c r="AH146" s="19">
        <f>IF($H146&gt;0,'Calculation Constants'!$B$9*Hydraulics!$K146^2/2/9.81/MAX($F$4:$F$263)*$H146,"")</f>
        <v>3.3925755153643114E-2</v>
      </c>
      <c r="AI146" s="19">
        <f t="shared" si="76"/>
        <v>0.63014310962270348</v>
      </c>
      <c r="AJ146" s="19">
        <f t="shared" si="67"/>
        <v>0</v>
      </c>
      <c r="AK146" s="19">
        <f t="shared" si="77"/>
        <v>150.53984982094391</v>
      </c>
      <c r="AL146" s="23">
        <f t="shared" si="68"/>
        <v>1165.2098498209439</v>
      </c>
      <c r="AM146" s="22">
        <f>(1/(2*LOG(3.7*($I146-0.008)/'Calculation Constants'!$B$5*1000)))^2</f>
        <v>1.4104604303736145E-2</v>
      </c>
      <c r="AN146" s="19">
        <f t="shared" si="78"/>
        <v>0.75676661531854661</v>
      </c>
      <c r="AO146" s="19">
        <f>IF($H146&gt;0,'Calculation Constants'!$B$9*Hydraulics!$K146^2/2/9.81/MAX($F$4:$F$263)*$H146,"")</f>
        <v>3.3925755153643114E-2</v>
      </c>
      <c r="AP146" s="19">
        <f t="shared" si="79"/>
        <v>0.79069237047218976</v>
      </c>
      <c r="AQ146" s="19">
        <f t="shared" si="69"/>
        <v>0</v>
      </c>
      <c r="AR146" s="19">
        <f t="shared" si="80"/>
        <v>145.88392125630492</v>
      </c>
      <c r="AS146" s="23">
        <f t="shared" si="70"/>
        <v>1160.5539212563049</v>
      </c>
    </row>
    <row r="147" spans="5:45">
      <c r="E147" s="35" t="str">
        <f t="shared" si="56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1"/>
        <v>2</v>
      </c>
      <c r="I147" s="19">
        <v>2.2000000000000002</v>
      </c>
      <c r="J147" s="36">
        <f>'Flow Rate Calculations'!$B$7</f>
        <v>4.0831050228310497</v>
      </c>
      <c r="K147" s="36">
        <f t="shared" si="71"/>
        <v>1.0741261942924094</v>
      </c>
      <c r="L147" s="37">
        <f>$I147*$K147/'Calculation Constants'!$B$7</f>
        <v>2091219.139330355</v>
      </c>
      <c r="M147" s="37" t="str">
        <f t="shared" si="57"/>
        <v>Greater Dynamic Pressures</v>
      </c>
      <c r="N147" s="23">
        <f t="shared" si="72"/>
        <v>151.56658399223852</v>
      </c>
      <c r="O147" s="57">
        <f t="shared" si="58"/>
        <v>149.92680100610323</v>
      </c>
      <c r="P147" s="66">
        <f>MAX(I147*1000/'Calculation Constants'!$B$14,O147*10*I147*1000/2/('Calculation Constants'!$B$12*1000*'Calculation Constants'!$B$13))</f>
        <v>13.75</v>
      </c>
      <c r="Q147" s="68">
        <f t="shared" si="59"/>
        <v>1482695.7604373412</v>
      </c>
      <c r="R147" s="27">
        <f>(1/(2*LOG(3.7*$I147/'Calculation Constants'!$B$2*1000)))^2</f>
        <v>8.4679866037394684E-3</v>
      </c>
      <c r="S147" s="19">
        <f t="shared" si="73"/>
        <v>0.45268811177167712</v>
      </c>
      <c r="T147" s="19">
        <f>IF($H147&gt;0,'Calculation Constants'!$B$9*Hydraulics!$K147^2/2/9.81/MAX($F$4:$F$263)*$H147,"")</f>
        <v>3.3925755153643114E-2</v>
      </c>
      <c r="U147" s="19">
        <f t="shared" si="74"/>
        <v>0.48661386692532022</v>
      </c>
      <c r="V147" s="19">
        <f t="shared" si="60"/>
        <v>0</v>
      </c>
      <c r="W147" s="19">
        <f t="shared" si="61"/>
        <v>151.56658399223852</v>
      </c>
      <c r="X147" s="23">
        <f t="shared" si="62"/>
        <v>1168.8855839922385</v>
      </c>
      <c r="Y147" s="22">
        <f>(1/(2*LOG(3.7*$I147/'Calculation Constants'!$B$3*1000)))^2</f>
        <v>9.4904462912918219E-3</v>
      </c>
      <c r="Z147" s="19">
        <f t="shared" si="63"/>
        <v>0.50734754464280807</v>
      </c>
      <c r="AA147" s="19">
        <f>IF($H147&gt;0,'Calculation Constants'!$B$9*Hydraulics!$K147^2/2/9.81/MAX($F$4:$F$263)*$H147,"")</f>
        <v>3.3925755153643114E-2</v>
      </c>
      <c r="AB147" s="19">
        <f t="shared" si="82"/>
        <v>0.54127329979645122</v>
      </c>
      <c r="AC147" s="19">
        <f t="shared" si="64"/>
        <v>0</v>
      </c>
      <c r="AD147" s="19">
        <f t="shared" si="75"/>
        <v>149.92680100610323</v>
      </c>
      <c r="AE147" s="23">
        <f t="shared" si="65"/>
        <v>1167.2458010061032</v>
      </c>
      <c r="AF147" s="27">
        <f>(1/(2*LOG(3.7*$I147/'Calculation Constants'!$B$4*1000)))^2</f>
        <v>1.1152845500629007E-2</v>
      </c>
      <c r="AG147" s="19">
        <f t="shared" si="66"/>
        <v>0.59621735446906032</v>
      </c>
      <c r="AH147" s="19">
        <f>IF($H147&gt;0,'Calculation Constants'!$B$9*Hydraulics!$K147^2/2/9.81/MAX($F$4:$F$263)*$H147,"")</f>
        <v>3.3925755153643114E-2</v>
      </c>
      <c r="AI147" s="19">
        <f t="shared" si="76"/>
        <v>0.63014310962270348</v>
      </c>
      <c r="AJ147" s="19">
        <f t="shared" si="67"/>
        <v>0</v>
      </c>
      <c r="AK147" s="19">
        <f t="shared" si="77"/>
        <v>147.26070671132129</v>
      </c>
      <c r="AL147" s="23">
        <f t="shared" si="68"/>
        <v>1164.5797067113213</v>
      </c>
      <c r="AM147" s="22">
        <f>(1/(2*LOG(3.7*($I147-0.008)/'Calculation Constants'!$B$5*1000)))^2</f>
        <v>1.4104604303736145E-2</v>
      </c>
      <c r="AN147" s="19">
        <f t="shared" si="78"/>
        <v>0.75676661531854661</v>
      </c>
      <c r="AO147" s="19">
        <f>IF($H147&gt;0,'Calculation Constants'!$B$9*Hydraulics!$K147^2/2/9.81/MAX($F$4:$F$263)*$H147,"")</f>
        <v>3.3925755153643114E-2</v>
      </c>
      <c r="AP147" s="19">
        <f t="shared" si="79"/>
        <v>0.79069237047218976</v>
      </c>
      <c r="AQ147" s="19">
        <f t="shared" si="69"/>
        <v>0</v>
      </c>
      <c r="AR147" s="19">
        <f t="shared" si="80"/>
        <v>142.44422888583267</v>
      </c>
      <c r="AS147" s="23">
        <f t="shared" si="70"/>
        <v>1159.7632288858326</v>
      </c>
    </row>
    <row r="148" spans="5:45">
      <c r="E148" s="35" t="str">
        <f t="shared" si="56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1"/>
        <v>2</v>
      </c>
      <c r="I148" s="19">
        <v>2.2000000000000002</v>
      </c>
      <c r="J148" s="36">
        <f>'Flow Rate Calculations'!$B$7</f>
        <v>4.0831050228310497</v>
      </c>
      <c r="K148" s="36">
        <f t="shared" si="71"/>
        <v>1.0741261942924094</v>
      </c>
      <c r="L148" s="37">
        <f>$I148*$K148/'Calculation Constants'!$B$7</f>
        <v>2091219.139330355</v>
      </c>
      <c r="M148" s="37" t="str">
        <f t="shared" si="57"/>
        <v>Greater Dynamic Pressures</v>
      </c>
      <c r="N148" s="23">
        <f t="shared" si="72"/>
        <v>140.93997012531304</v>
      </c>
      <c r="O148" s="57">
        <f t="shared" si="58"/>
        <v>139.24552770630658</v>
      </c>
      <c r="P148" s="66">
        <f>MAX(I148*1000/'Calculation Constants'!$B$14,O148*10*I148*1000/2/('Calculation Constants'!$B$12*1000*'Calculation Constants'!$B$13))</f>
        <v>13.75</v>
      </c>
      <c r="Q148" s="68">
        <f t="shared" si="59"/>
        <v>1482695.7604373412</v>
      </c>
      <c r="R148" s="27">
        <f>(1/(2*LOG(3.7*$I148/'Calculation Constants'!$B$2*1000)))^2</f>
        <v>8.4679866037394684E-3</v>
      </c>
      <c r="S148" s="19">
        <f t="shared" si="73"/>
        <v>0.45268811177167712</v>
      </c>
      <c r="T148" s="19">
        <f>IF($H148&gt;0,'Calculation Constants'!$B$9*Hydraulics!$K148^2/2/9.81/MAX($F$4:$F$263)*$H148,"")</f>
        <v>3.3925755153643114E-2</v>
      </c>
      <c r="U148" s="19">
        <f t="shared" si="74"/>
        <v>0.48661386692532022</v>
      </c>
      <c r="V148" s="19">
        <f t="shared" si="60"/>
        <v>0</v>
      </c>
      <c r="W148" s="19">
        <f t="shared" si="61"/>
        <v>140.93997012531304</v>
      </c>
      <c r="X148" s="23">
        <f t="shared" si="62"/>
        <v>1168.3989701253131</v>
      </c>
      <c r="Y148" s="22">
        <f>(1/(2*LOG(3.7*$I148/'Calculation Constants'!$B$3*1000)))^2</f>
        <v>9.4904462912918219E-3</v>
      </c>
      <c r="Z148" s="19">
        <f t="shared" si="63"/>
        <v>0.50734754464280807</v>
      </c>
      <c r="AA148" s="19">
        <f>IF($H148&gt;0,'Calculation Constants'!$B$9*Hydraulics!$K148^2/2/9.81/MAX($F$4:$F$263)*$H148,"")</f>
        <v>3.3925755153643114E-2</v>
      </c>
      <c r="AB148" s="19">
        <f t="shared" si="82"/>
        <v>0.54127329979645122</v>
      </c>
      <c r="AC148" s="19">
        <f t="shared" si="64"/>
        <v>0</v>
      </c>
      <c r="AD148" s="19">
        <f t="shared" si="75"/>
        <v>139.24552770630658</v>
      </c>
      <c r="AE148" s="23">
        <f t="shared" si="65"/>
        <v>1166.7045277063066</v>
      </c>
      <c r="AF148" s="27">
        <f>(1/(2*LOG(3.7*$I148/'Calculation Constants'!$B$4*1000)))^2</f>
        <v>1.1152845500629007E-2</v>
      </c>
      <c r="AG148" s="19">
        <f t="shared" si="66"/>
        <v>0.59621735446906032</v>
      </c>
      <c r="AH148" s="19">
        <f>IF($H148&gt;0,'Calculation Constants'!$B$9*Hydraulics!$K148^2/2/9.81/MAX($F$4:$F$263)*$H148,"")</f>
        <v>3.3925755153643114E-2</v>
      </c>
      <c r="AI148" s="19">
        <f t="shared" si="76"/>
        <v>0.63014310962270348</v>
      </c>
      <c r="AJ148" s="19">
        <f t="shared" si="67"/>
        <v>0</v>
      </c>
      <c r="AK148" s="19">
        <f t="shared" si="77"/>
        <v>136.49056360169857</v>
      </c>
      <c r="AL148" s="23">
        <f t="shared" si="68"/>
        <v>1163.9495636016986</v>
      </c>
      <c r="AM148" s="22">
        <f>(1/(2*LOG(3.7*($I148-0.008)/'Calculation Constants'!$B$5*1000)))^2</f>
        <v>1.4104604303736145E-2</v>
      </c>
      <c r="AN148" s="19">
        <f t="shared" si="78"/>
        <v>0.75676661531854661</v>
      </c>
      <c r="AO148" s="19">
        <f>IF($H148&gt;0,'Calculation Constants'!$B$9*Hydraulics!$K148^2/2/9.81/MAX($F$4:$F$263)*$H148,"")</f>
        <v>3.3925755153643114E-2</v>
      </c>
      <c r="AP148" s="19">
        <f t="shared" si="79"/>
        <v>0.79069237047218976</v>
      </c>
      <c r="AQ148" s="19">
        <f t="shared" si="69"/>
        <v>0</v>
      </c>
      <c r="AR148" s="19">
        <f t="shared" si="80"/>
        <v>131.51353651536033</v>
      </c>
      <c r="AS148" s="23">
        <f t="shared" si="70"/>
        <v>1158.9725365153604</v>
      </c>
    </row>
    <row r="149" spans="5:45">
      <c r="E149" s="35" t="str">
        <f t="shared" si="56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1"/>
        <v>2</v>
      </c>
      <c r="I149" s="19">
        <v>2.2000000000000002</v>
      </c>
      <c r="J149" s="36">
        <f>'Flow Rate Calculations'!$B$7</f>
        <v>4.0831050228310497</v>
      </c>
      <c r="K149" s="36">
        <f t="shared" si="71"/>
        <v>1.0741261942924094</v>
      </c>
      <c r="L149" s="37">
        <f>$I149*$K149/'Calculation Constants'!$B$7</f>
        <v>2091219.139330355</v>
      </c>
      <c r="M149" s="37" t="str">
        <f t="shared" si="57"/>
        <v>Greater Dynamic Pressures</v>
      </c>
      <c r="N149" s="23">
        <f t="shared" si="72"/>
        <v>135.92235625838771</v>
      </c>
      <c r="O149" s="57">
        <f t="shared" si="58"/>
        <v>134.17325440651007</v>
      </c>
      <c r="P149" s="66">
        <f>MAX(I149*1000/'Calculation Constants'!$B$14,O149*10*I149*1000/2/('Calculation Constants'!$B$12*1000*'Calculation Constants'!$B$13))</f>
        <v>13.75</v>
      </c>
      <c r="Q149" s="68">
        <f t="shared" si="59"/>
        <v>1482695.7604373412</v>
      </c>
      <c r="R149" s="27">
        <f>(1/(2*LOG(3.7*$I149/'Calculation Constants'!$B$2*1000)))^2</f>
        <v>8.4679866037394684E-3</v>
      </c>
      <c r="S149" s="19">
        <f t="shared" si="73"/>
        <v>0.45268811177167712</v>
      </c>
      <c r="T149" s="19">
        <f>IF($H149&gt;0,'Calculation Constants'!$B$9*Hydraulics!$K149^2/2/9.81/MAX($F$4:$F$263)*$H149,"")</f>
        <v>3.3925755153643114E-2</v>
      </c>
      <c r="U149" s="19">
        <f t="shared" si="74"/>
        <v>0.48661386692532022</v>
      </c>
      <c r="V149" s="19">
        <f t="shared" si="60"/>
        <v>0</v>
      </c>
      <c r="W149" s="19">
        <f t="shared" si="61"/>
        <v>135.92235625838771</v>
      </c>
      <c r="X149" s="23">
        <f t="shared" si="62"/>
        <v>1167.9123562583877</v>
      </c>
      <c r="Y149" s="22">
        <f>(1/(2*LOG(3.7*$I149/'Calculation Constants'!$B$3*1000)))^2</f>
        <v>9.4904462912918219E-3</v>
      </c>
      <c r="Z149" s="19">
        <f t="shared" si="63"/>
        <v>0.50734754464280807</v>
      </c>
      <c r="AA149" s="19">
        <f>IF($H149&gt;0,'Calculation Constants'!$B$9*Hydraulics!$K149^2/2/9.81/MAX($F$4:$F$263)*$H149,"")</f>
        <v>3.3925755153643114E-2</v>
      </c>
      <c r="AB149" s="19">
        <f t="shared" si="82"/>
        <v>0.54127329979645122</v>
      </c>
      <c r="AC149" s="19">
        <f t="shared" si="64"/>
        <v>0</v>
      </c>
      <c r="AD149" s="19">
        <f t="shared" si="75"/>
        <v>134.17325440651007</v>
      </c>
      <c r="AE149" s="23">
        <f t="shared" si="65"/>
        <v>1166.1632544065101</v>
      </c>
      <c r="AF149" s="27">
        <f>(1/(2*LOG(3.7*$I149/'Calculation Constants'!$B$4*1000)))^2</f>
        <v>1.1152845500629007E-2</v>
      </c>
      <c r="AG149" s="19">
        <f t="shared" si="66"/>
        <v>0.59621735446906032</v>
      </c>
      <c r="AH149" s="19">
        <f>IF($H149&gt;0,'Calculation Constants'!$B$9*Hydraulics!$K149^2/2/9.81/MAX($F$4:$F$263)*$H149,"")</f>
        <v>3.3925755153643114E-2</v>
      </c>
      <c r="AI149" s="19">
        <f t="shared" si="76"/>
        <v>0.63014310962270348</v>
      </c>
      <c r="AJ149" s="19">
        <f t="shared" si="67"/>
        <v>0</v>
      </c>
      <c r="AK149" s="19">
        <f t="shared" si="77"/>
        <v>131.329420492076</v>
      </c>
      <c r="AL149" s="23">
        <f t="shared" si="68"/>
        <v>1163.319420492076</v>
      </c>
      <c r="AM149" s="22">
        <f>(1/(2*LOG(3.7*($I149-0.008)/'Calculation Constants'!$B$5*1000)))^2</f>
        <v>1.4104604303736145E-2</v>
      </c>
      <c r="AN149" s="19">
        <f t="shared" si="78"/>
        <v>0.75676661531854661</v>
      </c>
      <c r="AO149" s="19">
        <f>IF($H149&gt;0,'Calculation Constants'!$B$9*Hydraulics!$K149^2/2/9.81/MAX($F$4:$F$263)*$H149,"")</f>
        <v>3.3925755153643114E-2</v>
      </c>
      <c r="AP149" s="19">
        <f t="shared" si="79"/>
        <v>0.79069237047218976</v>
      </c>
      <c r="AQ149" s="19">
        <f t="shared" si="69"/>
        <v>0</v>
      </c>
      <c r="AR149" s="19">
        <f t="shared" si="80"/>
        <v>126.19184414488814</v>
      </c>
      <c r="AS149" s="23">
        <f t="shared" si="70"/>
        <v>1158.1818441448881</v>
      </c>
    </row>
    <row r="150" spans="5:45">
      <c r="E150" s="35" t="str">
        <f t="shared" si="56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1"/>
        <v>2</v>
      </c>
      <c r="I150" s="19">
        <v>2.2000000000000002</v>
      </c>
      <c r="J150" s="36">
        <f>'Flow Rate Calculations'!$B$7</f>
        <v>4.0831050228310497</v>
      </c>
      <c r="K150" s="36">
        <f t="shared" si="71"/>
        <v>1.0741261942924094</v>
      </c>
      <c r="L150" s="37">
        <f>$I150*$K150/'Calculation Constants'!$B$7</f>
        <v>2091219.139330355</v>
      </c>
      <c r="M150" s="37" t="str">
        <f t="shared" si="57"/>
        <v>Greater Dynamic Pressures</v>
      </c>
      <c r="N150" s="23">
        <f t="shared" si="72"/>
        <v>131.17174239146243</v>
      </c>
      <c r="O150" s="57">
        <f t="shared" si="58"/>
        <v>129.36798110671361</v>
      </c>
      <c r="P150" s="66">
        <f>MAX(I150*1000/'Calculation Constants'!$B$14,O150*10*I150*1000/2/('Calculation Constants'!$B$12*1000*'Calculation Constants'!$B$13))</f>
        <v>13.75</v>
      </c>
      <c r="Q150" s="68">
        <f t="shared" si="59"/>
        <v>1482695.7604373412</v>
      </c>
      <c r="R150" s="27">
        <f>(1/(2*LOG(3.7*$I150/'Calculation Constants'!$B$2*1000)))^2</f>
        <v>8.4679866037394684E-3</v>
      </c>
      <c r="S150" s="19">
        <f t="shared" si="73"/>
        <v>0.45268811177167712</v>
      </c>
      <c r="T150" s="19">
        <f>IF($H150&gt;0,'Calculation Constants'!$B$9*Hydraulics!$K150^2/2/9.81/MAX($F$4:$F$263)*$H150,"")</f>
        <v>3.3925755153643114E-2</v>
      </c>
      <c r="U150" s="19">
        <f t="shared" si="74"/>
        <v>0.48661386692532022</v>
      </c>
      <c r="V150" s="19">
        <f t="shared" si="60"/>
        <v>0</v>
      </c>
      <c r="W150" s="19">
        <f t="shared" si="61"/>
        <v>131.17174239146243</v>
      </c>
      <c r="X150" s="23">
        <f t="shared" si="62"/>
        <v>1167.4257423914623</v>
      </c>
      <c r="Y150" s="22">
        <f>(1/(2*LOG(3.7*$I150/'Calculation Constants'!$B$3*1000)))^2</f>
        <v>9.4904462912918219E-3</v>
      </c>
      <c r="Z150" s="19">
        <f t="shared" si="63"/>
        <v>0.50734754464280807</v>
      </c>
      <c r="AA150" s="19">
        <f>IF($H150&gt;0,'Calculation Constants'!$B$9*Hydraulics!$K150^2/2/9.81/MAX($F$4:$F$263)*$H150,"")</f>
        <v>3.3925755153643114E-2</v>
      </c>
      <c r="AB150" s="19">
        <f t="shared" si="82"/>
        <v>0.54127329979645122</v>
      </c>
      <c r="AC150" s="19">
        <f t="shared" si="64"/>
        <v>0</v>
      </c>
      <c r="AD150" s="19">
        <f t="shared" si="75"/>
        <v>129.36798110671361</v>
      </c>
      <c r="AE150" s="23">
        <f t="shared" si="65"/>
        <v>1165.6219811067135</v>
      </c>
      <c r="AF150" s="27">
        <f>(1/(2*LOG(3.7*$I150/'Calculation Constants'!$B$4*1000)))^2</f>
        <v>1.1152845500629007E-2</v>
      </c>
      <c r="AG150" s="19">
        <f t="shared" si="66"/>
        <v>0.59621735446906032</v>
      </c>
      <c r="AH150" s="19">
        <f>IF($H150&gt;0,'Calculation Constants'!$B$9*Hydraulics!$K150^2/2/9.81/MAX($F$4:$F$263)*$H150,"")</f>
        <v>3.3925755153643114E-2</v>
      </c>
      <c r="AI150" s="19">
        <f t="shared" si="76"/>
        <v>0.63014310962270348</v>
      </c>
      <c r="AJ150" s="19">
        <f t="shared" si="67"/>
        <v>0</v>
      </c>
      <c r="AK150" s="19">
        <f t="shared" si="77"/>
        <v>126.43527738245348</v>
      </c>
      <c r="AL150" s="23">
        <f t="shared" si="68"/>
        <v>1162.6892773824534</v>
      </c>
      <c r="AM150" s="22">
        <f>(1/(2*LOG(3.7*($I150-0.008)/'Calculation Constants'!$B$5*1000)))^2</f>
        <v>1.4104604303736145E-2</v>
      </c>
      <c r="AN150" s="19">
        <f t="shared" si="78"/>
        <v>0.75676661531854661</v>
      </c>
      <c r="AO150" s="19">
        <f>IF($H150&gt;0,'Calculation Constants'!$B$9*Hydraulics!$K150^2/2/9.81/MAX($F$4:$F$263)*$H150,"")</f>
        <v>3.3925755153643114E-2</v>
      </c>
      <c r="AP150" s="19">
        <f t="shared" si="79"/>
        <v>0.79069237047218976</v>
      </c>
      <c r="AQ150" s="19">
        <f t="shared" si="69"/>
        <v>0</v>
      </c>
      <c r="AR150" s="19">
        <f t="shared" si="80"/>
        <v>121.137151774416</v>
      </c>
      <c r="AS150" s="23">
        <f t="shared" si="70"/>
        <v>1157.3911517744159</v>
      </c>
    </row>
    <row r="151" spans="5:45">
      <c r="E151" s="35" t="str">
        <f t="shared" si="56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1"/>
        <v>2</v>
      </c>
      <c r="I151" s="19">
        <v>2.2000000000000002</v>
      </c>
      <c r="J151" s="36">
        <f>'Flow Rate Calculations'!$B$7</f>
        <v>4.0831050228310497</v>
      </c>
      <c r="K151" s="36">
        <f t="shared" si="71"/>
        <v>1.0741261942924094</v>
      </c>
      <c r="L151" s="37">
        <f>$I151*$K151/'Calculation Constants'!$B$7</f>
        <v>2091219.139330355</v>
      </c>
      <c r="M151" s="37" t="str">
        <f t="shared" si="57"/>
        <v>Greater Dynamic Pressures</v>
      </c>
      <c r="N151" s="23">
        <f t="shared" si="72"/>
        <v>126.812128524537</v>
      </c>
      <c r="O151" s="57">
        <f t="shared" si="58"/>
        <v>124.95370780691701</v>
      </c>
      <c r="P151" s="66">
        <f>MAX(I151*1000/'Calculation Constants'!$B$14,O151*10*I151*1000/2/('Calculation Constants'!$B$12*1000*'Calculation Constants'!$B$13))</f>
        <v>13.75</v>
      </c>
      <c r="Q151" s="68">
        <f t="shared" si="59"/>
        <v>1482695.7604373412</v>
      </c>
      <c r="R151" s="27">
        <f>(1/(2*LOG(3.7*$I151/'Calculation Constants'!$B$2*1000)))^2</f>
        <v>8.4679866037394684E-3</v>
      </c>
      <c r="S151" s="19">
        <f t="shared" si="73"/>
        <v>0.45268811177167712</v>
      </c>
      <c r="T151" s="19">
        <f>IF($H151&gt;0,'Calculation Constants'!$B$9*Hydraulics!$K151^2/2/9.81/MAX($F$4:$F$263)*$H151,"")</f>
        <v>3.3925755153643114E-2</v>
      </c>
      <c r="U151" s="19">
        <f t="shared" si="74"/>
        <v>0.48661386692532022</v>
      </c>
      <c r="V151" s="19">
        <f t="shared" si="60"/>
        <v>0</v>
      </c>
      <c r="W151" s="19">
        <f t="shared" si="61"/>
        <v>126.812128524537</v>
      </c>
      <c r="X151" s="23">
        <f t="shared" si="62"/>
        <v>1166.939128524537</v>
      </c>
      <c r="Y151" s="22">
        <f>(1/(2*LOG(3.7*$I151/'Calculation Constants'!$B$3*1000)))^2</f>
        <v>9.4904462912918219E-3</v>
      </c>
      <c r="Z151" s="19">
        <f t="shared" si="63"/>
        <v>0.50734754464280807</v>
      </c>
      <c r="AA151" s="19">
        <f>IF($H151&gt;0,'Calculation Constants'!$B$9*Hydraulics!$K151^2/2/9.81/MAX($F$4:$F$263)*$H151,"")</f>
        <v>3.3925755153643114E-2</v>
      </c>
      <c r="AB151" s="19">
        <f t="shared" si="82"/>
        <v>0.54127329979645122</v>
      </c>
      <c r="AC151" s="19">
        <f t="shared" si="64"/>
        <v>0</v>
      </c>
      <c r="AD151" s="19">
        <f t="shared" si="75"/>
        <v>124.95370780691701</v>
      </c>
      <c r="AE151" s="23">
        <f t="shared" si="65"/>
        <v>1165.080707806917</v>
      </c>
      <c r="AF151" s="27">
        <f>(1/(2*LOG(3.7*$I151/'Calculation Constants'!$B$4*1000)))^2</f>
        <v>1.1152845500629007E-2</v>
      </c>
      <c r="AG151" s="19">
        <f t="shared" si="66"/>
        <v>0.59621735446906032</v>
      </c>
      <c r="AH151" s="19">
        <f>IF($H151&gt;0,'Calculation Constants'!$B$9*Hydraulics!$K151^2/2/9.81/MAX($F$4:$F$263)*$H151,"")</f>
        <v>3.3925755153643114E-2</v>
      </c>
      <c r="AI151" s="19">
        <f t="shared" si="76"/>
        <v>0.63014310962270348</v>
      </c>
      <c r="AJ151" s="19">
        <f t="shared" si="67"/>
        <v>0</v>
      </c>
      <c r="AK151" s="19">
        <f t="shared" si="77"/>
        <v>121.93213427283081</v>
      </c>
      <c r="AL151" s="23">
        <f t="shared" si="68"/>
        <v>1162.0591342728308</v>
      </c>
      <c r="AM151" s="22">
        <f>(1/(2*LOG(3.7*($I151-0.008)/'Calculation Constants'!$B$5*1000)))^2</f>
        <v>1.4104604303736145E-2</v>
      </c>
      <c r="AN151" s="19">
        <f t="shared" si="78"/>
        <v>0.75676661531854661</v>
      </c>
      <c r="AO151" s="19">
        <f>IF($H151&gt;0,'Calculation Constants'!$B$9*Hydraulics!$K151^2/2/9.81/MAX($F$4:$F$263)*$H151,"")</f>
        <v>3.3925755153643114E-2</v>
      </c>
      <c r="AP151" s="19">
        <f t="shared" si="79"/>
        <v>0.79069237047218976</v>
      </c>
      <c r="AQ151" s="19">
        <f t="shared" si="69"/>
        <v>0</v>
      </c>
      <c r="AR151" s="19">
        <f t="shared" si="80"/>
        <v>116.47345940394371</v>
      </c>
      <c r="AS151" s="23">
        <f t="shared" si="70"/>
        <v>1156.6004594039437</v>
      </c>
    </row>
    <row r="152" spans="5:45">
      <c r="E152" s="35" t="str">
        <f t="shared" si="56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1"/>
        <v>2</v>
      </c>
      <c r="I152" s="19">
        <v>2.2000000000000002</v>
      </c>
      <c r="J152" s="36">
        <f>'Flow Rate Calculations'!$B$7</f>
        <v>4.0831050228310497</v>
      </c>
      <c r="K152" s="36">
        <f t="shared" si="71"/>
        <v>1.0741261942924094</v>
      </c>
      <c r="L152" s="37">
        <f>$I152*$K152/'Calculation Constants'!$B$7</f>
        <v>2091219.139330355</v>
      </c>
      <c r="M152" s="37" t="str">
        <f t="shared" si="57"/>
        <v>Greater Dynamic Pressures</v>
      </c>
      <c r="N152" s="23">
        <f t="shared" si="72"/>
        <v>122.05651465761161</v>
      </c>
      <c r="O152" s="57">
        <f t="shared" si="58"/>
        <v>120.14343450712045</v>
      </c>
      <c r="P152" s="66">
        <f>MAX(I152*1000/'Calculation Constants'!$B$14,O152*10*I152*1000/2/('Calculation Constants'!$B$12*1000*'Calculation Constants'!$B$13))</f>
        <v>13.75</v>
      </c>
      <c r="Q152" s="68">
        <f t="shared" si="59"/>
        <v>1482695.7604373412</v>
      </c>
      <c r="R152" s="27">
        <f>(1/(2*LOG(3.7*$I152/'Calculation Constants'!$B$2*1000)))^2</f>
        <v>8.4679866037394684E-3</v>
      </c>
      <c r="S152" s="19">
        <f t="shared" si="73"/>
        <v>0.45268811177167712</v>
      </c>
      <c r="T152" s="19">
        <f>IF($H152&gt;0,'Calculation Constants'!$B$9*Hydraulics!$K152^2/2/9.81/MAX($F$4:$F$263)*$H152,"")</f>
        <v>3.3925755153643114E-2</v>
      </c>
      <c r="U152" s="19">
        <f t="shared" si="74"/>
        <v>0.48661386692532022</v>
      </c>
      <c r="V152" s="19">
        <f t="shared" si="60"/>
        <v>0</v>
      </c>
      <c r="W152" s="19">
        <f t="shared" si="61"/>
        <v>122.05651465761161</v>
      </c>
      <c r="X152" s="23">
        <f t="shared" si="62"/>
        <v>1166.4525146576116</v>
      </c>
      <c r="Y152" s="22">
        <f>(1/(2*LOG(3.7*$I152/'Calculation Constants'!$B$3*1000)))^2</f>
        <v>9.4904462912918219E-3</v>
      </c>
      <c r="Z152" s="19">
        <f t="shared" si="63"/>
        <v>0.50734754464280807</v>
      </c>
      <c r="AA152" s="19">
        <f>IF($H152&gt;0,'Calculation Constants'!$B$9*Hydraulics!$K152^2/2/9.81/MAX($F$4:$F$263)*$H152,"")</f>
        <v>3.3925755153643114E-2</v>
      </c>
      <c r="AB152" s="19">
        <f t="shared" si="82"/>
        <v>0.54127329979645122</v>
      </c>
      <c r="AC152" s="19">
        <f t="shared" si="64"/>
        <v>0</v>
      </c>
      <c r="AD152" s="19">
        <f t="shared" si="75"/>
        <v>120.14343450712045</v>
      </c>
      <c r="AE152" s="23">
        <f t="shared" si="65"/>
        <v>1164.5394345071204</v>
      </c>
      <c r="AF152" s="27">
        <f>(1/(2*LOG(3.7*$I152/'Calculation Constants'!$B$4*1000)))^2</f>
        <v>1.1152845500629007E-2</v>
      </c>
      <c r="AG152" s="19">
        <f t="shared" si="66"/>
        <v>0.59621735446906032</v>
      </c>
      <c r="AH152" s="19">
        <f>IF($H152&gt;0,'Calculation Constants'!$B$9*Hydraulics!$K152^2/2/9.81/MAX($F$4:$F$263)*$H152,"")</f>
        <v>3.3925755153643114E-2</v>
      </c>
      <c r="AI152" s="19">
        <f t="shared" si="76"/>
        <v>0.63014310962270348</v>
      </c>
      <c r="AJ152" s="19">
        <f t="shared" si="67"/>
        <v>0</v>
      </c>
      <c r="AK152" s="19">
        <f t="shared" si="77"/>
        <v>117.03299116320818</v>
      </c>
      <c r="AL152" s="23">
        <f t="shared" si="68"/>
        <v>1161.4289911632081</v>
      </c>
      <c r="AM152" s="22">
        <f>(1/(2*LOG(3.7*($I152-0.008)/'Calculation Constants'!$B$5*1000)))^2</f>
        <v>1.4104604303736145E-2</v>
      </c>
      <c r="AN152" s="19">
        <f t="shared" si="78"/>
        <v>0.75676661531854661</v>
      </c>
      <c r="AO152" s="19">
        <f>IF($H152&gt;0,'Calculation Constants'!$B$9*Hydraulics!$K152^2/2/9.81/MAX($F$4:$F$263)*$H152,"")</f>
        <v>3.3925755153643114E-2</v>
      </c>
      <c r="AP152" s="19">
        <f t="shared" si="79"/>
        <v>0.79069237047218976</v>
      </c>
      <c r="AQ152" s="19">
        <f t="shared" si="69"/>
        <v>0</v>
      </c>
      <c r="AR152" s="19">
        <f t="shared" si="80"/>
        <v>111.41376703347146</v>
      </c>
      <c r="AS152" s="23">
        <f t="shared" si="70"/>
        <v>1155.8097670334714</v>
      </c>
    </row>
    <row r="153" spans="5:45">
      <c r="E153" s="35" t="str">
        <f t="shared" si="56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1"/>
        <v>2</v>
      </c>
      <c r="I153" s="19">
        <v>2.2000000000000002</v>
      </c>
      <c r="J153" s="36">
        <f>'Flow Rate Calculations'!$B$7</f>
        <v>4.0831050228310497</v>
      </c>
      <c r="K153" s="36">
        <f t="shared" si="71"/>
        <v>1.0741261942924094</v>
      </c>
      <c r="L153" s="37">
        <f>$I153*$K153/'Calculation Constants'!$B$7</f>
        <v>2091219.139330355</v>
      </c>
      <c r="M153" s="37" t="str">
        <f t="shared" si="57"/>
        <v>Greater Dynamic Pressures</v>
      </c>
      <c r="N153" s="23">
        <f t="shared" si="72"/>
        <v>114.62690079068625</v>
      </c>
      <c r="O153" s="57">
        <f t="shared" si="58"/>
        <v>112.6591612073239</v>
      </c>
      <c r="P153" s="66">
        <f>MAX(I153*1000/'Calculation Constants'!$B$14,O153*10*I153*1000/2/('Calculation Constants'!$B$12*1000*'Calculation Constants'!$B$13))</f>
        <v>13.75</v>
      </c>
      <c r="Q153" s="68">
        <f t="shared" si="59"/>
        <v>1482695.7604373412</v>
      </c>
      <c r="R153" s="27">
        <f>(1/(2*LOG(3.7*$I153/'Calculation Constants'!$B$2*1000)))^2</f>
        <v>8.4679866037394684E-3</v>
      </c>
      <c r="S153" s="19">
        <f t="shared" si="73"/>
        <v>0.45268811177167712</v>
      </c>
      <c r="T153" s="19">
        <f>IF($H153&gt;0,'Calculation Constants'!$B$9*Hydraulics!$K153^2/2/9.81/MAX($F$4:$F$263)*$H153,"")</f>
        <v>3.3925755153643114E-2</v>
      </c>
      <c r="U153" s="19">
        <f t="shared" si="74"/>
        <v>0.48661386692532022</v>
      </c>
      <c r="V153" s="19">
        <f t="shared" si="60"/>
        <v>0</v>
      </c>
      <c r="W153" s="19">
        <f t="shared" si="61"/>
        <v>114.62690079068625</v>
      </c>
      <c r="X153" s="23">
        <f t="shared" si="62"/>
        <v>1165.9659007906862</v>
      </c>
      <c r="Y153" s="22">
        <f>(1/(2*LOG(3.7*$I153/'Calculation Constants'!$B$3*1000)))^2</f>
        <v>9.4904462912918219E-3</v>
      </c>
      <c r="Z153" s="19">
        <f t="shared" si="63"/>
        <v>0.50734754464280807</v>
      </c>
      <c r="AA153" s="19">
        <f>IF($H153&gt;0,'Calculation Constants'!$B$9*Hydraulics!$K153^2/2/9.81/MAX($F$4:$F$263)*$H153,"")</f>
        <v>3.3925755153643114E-2</v>
      </c>
      <c r="AB153" s="19">
        <f t="shared" si="82"/>
        <v>0.54127329979645122</v>
      </c>
      <c r="AC153" s="19">
        <f t="shared" si="64"/>
        <v>0</v>
      </c>
      <c r="AD153" s="19">
        <f t="shared" si="75"/>
        <v>112.6591612073239</v>
      </c>
      <c r="AE153" s="23">
        <f t="shared" si="65"/>
        <v>1163.9981612073238</v>
      </c>
      <c r="AF153" s="27">
        <f>(1/(2*LOG(3.7*$I153/'Calculation Constants'!$B$4*1000)))^2</f>
        <v>1.1152845500629007E-2</v>
      </c>
      <c r="AG153" s="19">
        <f t="shared" si="66"/>
        <v>0.59621735446906032</v>
      </c>
      <c r="AH153" s="19">
        <f>IF($H153&gt;0,'Calculation Constants'!$B$9*Hydraulics!$K153^2/2/9.81/MAX($F$4:$F$263)*$H153,"")</f>
        <v>3.3925755153643114E-2</v>
      </c>
      <c r="AI153" s="19">
        <f t="shared" si="76"/>
        <v>0.63014310962270348</v>
      </c>
      <c r="AJ153" s="19">
        <f t="shared" si="67"/>
        <v>0</v>
      </c>
      <c r="AK153" s="19">
        <f t="shared" si="77"/>
        <v>109.45984805358557</v>
      </c>
      <c r="AL153" s="23">
        <f t="shared" si="68"/>
        <v>1160.7988480535855</v>
      </c>
      <c r="AM153" s="22">
        <f>(1/(2*LOG(3.7*($I153-0.008)/'Calculation Constants'!$B$5*1000)))^2</f>
        <v>1.4104604303736145E-2</v>
      </c>
      <c r="AN153" s="19">
        <f t="shared" si="78"/>
        <v>0.75676661531854661</v>
      </c>
      <c r="AO153" s="19">
        <f>IF($H153&gt;0,'Calculation Constants'!$B$9*Hydraulics!$K153^2/2/9.81/MAX($F$4:$F$263)*$H153,"")</f>
        <v>3.3925755153643114E-2</v>
      </c>
      <c r="AP153" s="19">
        <f t="shared" si="79"/>
        <v>0.79069237047218976</v>
      </c>
      <c r="AQ153" s="19">
        <f t="shared" si="69"/>
        <v>0</v>
      </c>
      <c r="AR153" s="19">
        <f t="shared" si="80"/>
        <v>103.68007466299923</v>
      </c>
      <c r="AS153" s="23">
        <f t="shared" si="70"/>
        <v>1155.0190746629992</v>
      </c>
    </row>
    <row r="154" spans="5:45">
      <c r="E154" s="35" t="str">
        <f t="shared" si="56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1"/>
        <v>2</v>
      </c>
      <c r="I154" s="19">
        <v>2.2000000000000002</v>
      </c>
      <c r="J154" s="36">
        <f>'Flow Rate Calculations'!$B$7</f>
        <v>4.0831050228310497</v>
      </c>
      <c r="K154" s="36">
        <f t="shared" si="71"/>
        <v>1.0741261942924094</v>
      </c>
      <c r="L154" s="37">
        <f>$I154*$K154/'Calculation Constants'!$B$7</f>
        <v>2091219.139330355</v>
      </c>
      <c r="M154" s="37" t="str">
        <f t="shared" si="57"/>
        <v>Greater Dynamic Pressures</v>
      </c>
      <c r="N154" s="23">
        <f t="shared" si="72"/>
        <v>104.52428692376088</v>
      </c>
      <c r="O154" s="57">
        <f t="shared" si="58"/>
        <v>102.50188790752736</v>
      </c>
      <c r="P154" s="66">
        <f>MAX(I154*1000/'Calculation Constants'!$B$14,O154*10*I154*1000/2/('Calculation Constants'!$B$12*1000*'Calculation Constants'!$B$13))</f>
        <v>13.75</v>
      </c>
      <c r="Q154" s="68">
        <f t="shared" si="59"/>
        <v>1482695.7604373412</v>
      </c>
      <c r="R154" s="27">
        <f>(1/(2*LOG(3.7*$I154/'Calculation Constants'!$B$2*1000)))^2</f>
        <v>8.4679866037394684E-3</v>
      </c>
      <c r="S154" s="19">
        <f t="shared" si="73"/>
        <v>0.45268811177167712</v>
      </c>
      <c r="T154" s="19">
        <f>IF($H154&gt;0,'Calculation Constants'!$B$9*Hydraulics!$K154^2/2/9.81/MAX($F$4:$F$263)*$H154,"")</f>
        <v>3.3925755153643114E-2</v>
      </c>
      <c r="U154" s="19">
        <f t="shared" si="74"/>
        <v>0.48661386692532022</v>
      </c>
      <c r="V154" s="19">
        <f t="shared" si="60"/>
        <v>0</v>
      </c>
      <c r="W154" s="19">
        <f t="shared" si="61"/>
        <v>104.52428692376088</v>
      </c>
      <c r="X154" s="23">
        <f t="shared" si="62"/>
        <v>1165.4792869237608</v>
      </c>
      <c r="Y154" s="22">
        <f>(1/(2*LOG(3.7*$I154/'Calculation Constants'!$B$3*1000)))^2</f>
        <v>9.4904462912918219E-3</v>
      </c>
      <c r="Z154" s="19">
        <f t="shared" si="63"/>
        <v>0.50734754464280807</v>
      </c>
      <c r="AA154" s="19">
        <f>IF($H154&gt;0,'Calculation Constants'!$B$9*Hydraulics!$K154^2/2/9.81/MAX($F$4:$F$263)*$H154,"")</f>
        <v>3.3925755153643114E-2</v>
      </c>
      <c r="AB154" s="19">
        <f t="shared" si="82"/>
        <v>0.54127329979645122</v>
      </c>
      <c r="AC154" s="19">
        <f t="shared" si="64"/>
        <v>0</v>
      </c>
      <c r="AD154" s="19">
        <f t="shared" si="75"/>
        <v>102.50188790752736</v>
      </c>
      <c r="AE154" s="23">
        <f t="shared" si="65"/>
        <v>1163.4568879075273</v>
      </c>
      <c r="AF154" s="27">
        <f>(1/(2*LOG(3.7*$I154/'Calculation Constants'!$B$4*1000)))^2</f>
        <v>1.1152845500629007E-2</v>
      </c>
      <c r="AG154" s="19">
        <f t="shared" si="66"/>
        <v>0.59621735446906032</v>
      </c>
      <c r="AH154" s="19">
        <f>IF($H154&gt;0,'Calculation Constants'!$B$9*Hydraulics!$K154^2/2/9.81/MAX($F$4:$F$263)*$H154,"")</f>
        <v>3.3925755153643114E-2</v>
      </c>
      <c r="AI154" s="19">
        <f t="shared" si="76"/>
        <v>0.63014310962270348</v>
      </c>
      <c r="AJ154" s="19">
        <f t="shared" si="67"/>
        <v>0</v>
      </c>
      <c r="AK154" s="19">
        <f t="shared" si="77"/>
        <v>99.213704943962966</v>
      </c>
      <c r="AL154" s="23">
        <f t="shared" si="68"/>
        <v>1160.1687049439629</v>
      </c>
      <c r="AM154" s="22">
        <f>(1/(2*LOG(3.7*($I154-0.008)/'Calculation Constants'!$B$5*1000)))^2</f>
        <v>1.4104604303736145E-2</v>
      </c>
      <c r="AN154" s="19">
        <f t="shared" si="78"/>
        <v>0.75676661531854661</v>
      </c>
      <c r="AO154" s="19">
        <f>IF($H154&gt;0,'Calculation Constants'!$B$9*Hydraulics!$K154^2/2/9.81/MAX($F$4:$F$263)*$H154,"")</f>
        <v>3.3925755153643114E-2</v>
      </c>
      <c r="AP154" s="19">
        <f t="shared" si="79"/>
        <v>0.79069237047218976</v>
      </c>
      <c r="AQ154" s="19">
        <f t="shared" si="69"/>
        <v>0</v>
      </c>
      <c r="AR154" s="19">
        <f t="shared" si="80"/>
        <v>93.273382292527003</v>
      </c>
      <c r="AS154" s="23">
        <f t="shared" si="70"/>
        <v>1154.2283822925269</v>
      </c>
    </row>
    <row r="155" spans="5:45">
      <c r="E155" s="35" t="str">
        <f t="shared" si="56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1"/>
        <v>2</v>
      </c>
      <c r="I155" s="19">
        <v>2.2000000000000002</v>
      </c>
      <c r="J155" s="36">
        <f>'Flow Rate Calculations'!$B$7</f>
        <v>4.0831050228310497</v>
      </c>
      <c r="K155" s="36">
        <f t="shared" si="71"/>
        <v>1.0741261942924094</v>
      </c>
      <c r="L155" s="37">
        <f>$I155*$K155/'Calculation Constants'!$B$7</f>
        <v>2091219.139330355</v>
      </c>
      <c r="M155" s="37" t="str">
        <f t="shared" si="57"/>
        <v>Greater Dynamic Pressures</v>
      </c>
      <c r="N155" s="23">
        <f t="shared" si="72"/>
        <v>94.76567305683534</v>
      </c>
      <c r="O155" s="57">
        <f t="shared" si="58"/>
        <v>92.688614607730642</v>
      </c>
      <c r="P155" s="66">
        <f>MAX(I155*1000/'Calculation Constants'!$B$14,O155*10*I155*1000/2/('Calculation Constants'!$B$12*1000*'Calculation Constants'!$B$13))</f>
        <v>13.75</v>
      </c>
      <c r="Q155" s="68">
        <f t="shared" si="59"/>
        <v>1482695.7604373412</v>
      </c>
      <c r="R155" s="27">
        <f>(1/(2*LOG(3.7*$I155/'Calculation Constants'!$B$2*1000)))^2</f>
        <v>8.4679866037394684E-3</v>
      </c>
      <c r="S155" s="19">
        <f t="shared" si="73"/>
        <v>0.45268811177167712</v>
      </c>
      <c r="T155" s="19">
        <f>IF($H155&gt;0,'Calculation Constants'!$B$9*Hydraulics!$K155^2/2/9.81/MAX($F$4:$F$263)*$H155,"")</f>
        <v>3.3925755153643114E-2</v>
      </c>
      <c r="U155" s="19">
        <f t="shared" si="74"/>
        <v>0.48661386692532022</v>
      </c>
      <c r="V155" s="19">
        <f t="shared" si="60"/>
        <v>0</v>
      </c>
      <c r="W155" s="19">
        <f t="shared" si="61"/>
        <v>94.76567305683534</v>
      </c>
      <c r="X155" s="23">
        <f t="shared" si="62"/>
        <v>1164.9926730568354</v>
      </c>
      <c r="Y155" s="22">
        <f>(1/(2*LOG(3.7*$I155/'Calculation Constants'!$B$3*1000)))^2</f>
        <v>9.4904462912918219E-3</v>
      </c>
      <c r="Z155" s="19">
        <f t="shared" si="63"/>
        <v>0.50734754464280807</v>
      </c>
      <c r="AA155" s="19">
        <f>IF($H155&gt;0,'Calculation Constants'!$B$9*Hydraulics!$K155^2/2/9.81/MAX($F$4:$F$263)*$H155,"")</f>
        <v>3.3925755153643114E-2</v>
      </c>
      <c r="AB155" s="19">
        <f t="shared" si="82"/>
        <v>0.54127329979645122</v>
      </c>
      <c r="AC155" s="19">
        <f t="shared" si="64"/>
        <v>0</v>
      </c>
      <c r="AD155" s="19">
        <f t="shared" si="75"/>
        <v>92.688614607730642</v>
      </c>
      <c r="AE155" s="23">
        <f t="shared" si="65"/>
        <v>1162.9156146077307</v>
      </c>
      <c r="AF155" s="27">
        <f>(1/(2*LOG(3.7*$I155/'Calculation Constants'!$B$4*1000)))^2</f>
        <v>1.1152845500629007E-2</v>
      </c>
      <c r="AG155" s="19">
        <f t="shared" si="66"/>
        <v>0.59621735446906032</v>
      </c>
      <c r="AH155" s="19">
        <f>IF($H155&gt;0,'Calculation Constants'!$B$9*Hydraulics!$K155^2/2/9.81/MAX($F$4:$F$263)*$H155,"")</f>
        <v>3.3925755153643114E-2</v>
      </c>
      <c r="AI155" s="19">
        <f t="shared" si="76"/>
        <v>0.63014310962270348</v>
      </c>
      <c r="AJ155" s="19">
        <f t="shared" si="67"/>
        <v>0</v>
      </c>
      <c r="AK155" s="19">
        <f t="shared" si="77"/>
        <v>89.311561834340182</v>
      </c>
      <c r="AL155" s="23">
        <f t="shared" si="68"/>
        <v>1159.5385618343403</v>
      </c>
      <c r="AM155" s="22">
        <f>(1/(2*LOG(3.7*($I155-0.008)/'Calculation Constants'!$B$5*1000)))^2</f>
        <v>1.4104604303736145E-2</v>
      </c>
      <c r="AN155" s="19">
        <f t="shared" si="78"/>
        <v>0.75676661531854661</v>
      </c>
      <c r="AO155" s="19">
        <f>IF($H155&gt;0,'Calculation Constants'!$B$9*Hydraulics!$K155^2/2/9.81/MAX($F$4:$F$263)*$H155,"")</f>
        <v>3.3925755153643114E-2</v>
      </c>
      <c r="AP155" s="19">
        <f t="shared" si="79"/>
        <v>0.79069237047218976</v>
      </c>
      <c r="AQ155" s="19">
        <f t="shared" si="69"/>
        <v>0</v>
      </c>
      <c r="AR155" s="19">
        <f t="shared" si="80"/>
        <v>83.210689922054598</v>
      </c>
      <c r="AS155" s="23">
        <f t="shared" si="70"/>
        <v>1153.4376899220547</v>
      </c>
    </row>
    <row r="156" spans="5:45">
      <c r="E156" s="35" t="str">
        <f t="shared" si="56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1"/>
        <v>2</v>
      </c>
      <c r="I156" s="19">
        <v>2.2000000000000002</v>
      </c>
      <c r="J156" s="36">
        <f>'Flow Rate Calculations'!$B$7</f>
        <v>4.0831050228310497</v>
      </c>
      <c r="K156" s="36">
        <f t="shared" si="71"/>
        <v>1.0741261942924094</v>
      </c>
      <c r="L156" s="37">
        <f>$I156*$K156/'Calculation Constants'!$B$7</f>
        <v>2091219.139330355</v>
      </c>
      <c r="M156" s="37" t="str">
        <f t="shared" si="57"/>
        <v>Greater Dynamic Pressures</v>
      </c>
      <c r="N156" s="23">
        <f t="shared" si="72"/>
        <v>91.815059189910016</v>
      </c>
      <c r="O156" s="57">
        <f t="shared" si="58"/>
        <v>89.683341307934143</v>
      </c>
      <c r="P156" s="66">
        <f>MAX(I156*1000/'Calculation Constants'!$B$14,O156*10*I156*1000/2/('Calculation Constants'!$B$12*1000*'Calculation Constants'!$B$13))</f>
        <v>13.75</v>
      </c>
      <c r="Q156" s="68">
        <f t="shared" si="59"/>
        <v>1482695.7604373412</v>
      </c>
      <c r="R156" s="27">
        <f>(1/(2*LOG(3.7*$I156/'Calculation Constants'!$B$2*1000)))^2</f>
        <v>8.4679866037394684E-3</v>
      </c>
      <c r="S156" s="19">
        <f t="shared" si="73"/>
        <v>0.45268811177167712</v>
      </c>
      <c r="T156" s="19">
        <f>IF($H156&gt;0,'Calculation Constants'!$B$9*Hydraulics!$K156^2/2/9.81/MAX($F$4:$F$263)*$H156,"")</f>
        <v>3.3925755153643114E-2</v>
      </c>
      <c r="U156" s="19">
        <f t="shared" si="74"/>
        <v>0.48661386692532022</v>
      </c>
      <c r="V156" s="19">
        <f t="shared" si="60"/>
        <v>0</v>
      </c>
      <c r="W156" s="19">
        <f t="shared" si="61"/>
        <v>91.815059189910016</v>
      </c>
      <c r="X156" s="23">
        <f t="shared" si="62"/>
        <v>1164.50605918991</v>
      </c>
      <c r="Y156" s="22">
        <f>(1/(2*LOG(3.7*$I156/'Calculation Constants'!$B$3*1000)))^2</f>
        <v>9.4904462912918219E-3</v>
      </c>
      <c r="Z156" s="19">
        <f t="shared" si="63"/>
        <v>0.50734754464280807</v>
      </c>
      <c r="AA156" s="19">
        <f>IF($H156&gt;0,'Calculation Constants'!$B$9*Hydraulics!$K156^2/2/9.81/MAX($F$4:$F$263)*$H156,"")</f>
        <v>3.3925755153643114E-2</v>
      </c>
      <c r="AB156" s="19">
        <f t="shared" si="82"/>
        <v>0.54127329979645122</v>
      </c>
      <c r="AC156" s="19">
        <f t="shared" si="64"/>
        <v>0</v>
      </c>
      <c r="AD156" s="19">
        <f t="shared" si="75"/>
        <v>89.683341307934143</v>
      </c>
      <c r="AE156" s="23">
        <f t="shared" si="65"/>
        <v>1162.3743413079342</v>
      </c>
      <c r="AF156" s="27">
        <f>(1/(2*LOG(3.7*$I156/'Calculation Constants'!$B$4*1000)))^2</f>
        <v>1.1152845500629007E-2</v>
      </c>
      <c r="AG156" s="19">
        <f t="shared" si="66"/>
        <v>0.59621735446906032</v>
      </c>
      <c r="AH156" s="19">
        <f>IF($H156&gt;0,'Calculation Constants'!$B$9*Hydraulics!$K156^2/2/9.81/MAX($F$4:$F$263)*$H156,"")</f>
        <v>3.3925755153643114E-2</v>
      </c>
      <c r="AI156" s="19">
        <f t="shared" si="76"/>
        <v>0.63014310962270348</v>
      </c>
      <c r="AJ156" s="19">
        <f t="shared" si="67"/>
        <v>0</v>
      </c>
      <c r="AK156" s="19">
        <f t="shared" si="77"/>
        <v>86.217418724717618</v>
      </c>
      <c r="AL156" s="23">
        <f t="shared" si="68"/>
        <v>1158.9084187247176</v>
      </c>
      <c r="AM156" s="22">
        <f>(1/(2*LOG(3.7*($I156-0.008)/'Calculation Constants'!$B$5*1000)))^2</f>
        <v>1.4104604303736145E-2</v>
      </c>
      <c r="AN156" s="19">
        <f t="shared" si="78"/>
        <v>0.75676661531854661</v>
      </c>
      <c r="AO156" s="19">
        <f>IF($H156&gt;0,'Calculation Constants'!$B$9*Hydraulics!$K156^2/2/9.81/MAX($F$4:$F$263)*$H156,"")</f>
        <v>3.3925755153643114E-2</v>
      </c>
      <c r="AP156" s="19">
        <f t="shared" si="79"/>
        <v>0.79069237047218976</v>
      </c>
      <c r="AQ156" s="19">
        <f t="shared" si="69"/>
        <v>0</v>
      </c>
      <c r="AR156" s="19">
        <f t="shared" si="80"/>
        <v>79.955997551582414</v>
      </c>
      <c r="AS156" s="23">
        <f t="shared" si="70"/>
        <v>1152.6469975515824</v>
      </c>
    </row>
    <row r="157" spans="5:45">
      <c r="E157" s="35" t="str">
        <f t="shared" si="56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1"/>
        <v>2</v>
      </c>
      <c r="I157" s="19">
        <v>2.2000000000000002</v>
      </c>
      <c r="J157" s="36">
        <f>'Flow Rate Calculations'!$B$7</f>
        <v>4.0831050228310497</v>
      </c>
      <c r="K157" s="36">
        <f t="shared" si="71"/>
        <v>1.0741261942924094</v>
      </c>
      <c r="L157" s="37">
        <f>$I157*$K157/'Calculation Constants'!$B$7</f>
        <v>2091219.139330355</v>
      </c>
      <c r="M157" s="37" t="str">
        <f t="shared" si="57"/>
        <v>Greater Dynamic Pressures</v>
      </c>
      <c r="N157" s="23">
        <f t="shared" si="72"/>
        <v>87.516445322984737</v>
      </c>
      <c r="O157" s="57">
        <f t="shared" si="58"/>
        <v>85.330068008137687</v>
      </c>
      <c r="P157" s="66">
        <f>MAX(I157*1000/'Calculation Constants'!$B$14,O157*10*I157*1000/2/('Calculation Constants'!$B$12*1000*'Calculation Constants'!$B$13))</f>
        <v>13.75</v>
      </c>
      <c r="Q157" s="68">
        <f t="shared" si="59"/>
        <v>1482695.7604373412</v>
      </c>
      <c r="R157" s="27">
        <f>(1/(2*LOG(3.7*$I157/'Calculation Constants'!$B$2*1000)))^2</f>
        <v>8.4679866037394684E-3</v>
      </c>
      <c r="S157" s="19">
        <f t="shared" si="73"/>
        <v>0.45268811177167712</v>
      </c>
      <c r="T157" s="19">
        <f>IF($H157&gt;0,'Calculation Constants'!$B$9*Hydraulics!$K157^2/2/9.81/MAX($F$4:$F$263)*$H157,"")</f>
        <v>3.3925755153643114E-2</v>
      </c>
      <c r="U157" s="19">
        <f t="shared" si="74"/>
        <v>0.48661386692532022</v>
      </c>
      <c r="V157" s="19">
        <f t="shared" si="60"/>
        <v>0</v>
      </c>
      <c r="W157" s="19">
        <f t="shared" si="61"/>
        <v>87.516445322984737</v>
      </c>
      <c r="X157" s="23">
        <f t="shared" si="62"/>
        <v>1164.0194453229847</v>
      </c>
      <c r="Y157" s="22">
        <f>(1/(2*LOG(3.7*$I157/'Calculation Constants'!$B$3*1000)))^2</f>
        <v>9.4904462912918219E-3</v>
      </c>
      <c r="Z157" s="19">
        <f t="shared" si="63"/>
        <v>0.50734754464280807</v>
      </c>
      <c r="AA157" s="19">
        <f>IF($H157&gt;0,'Calculation Constants'!$B$9*Hydraulics!$K157^2/2/9.81/MAX($F$4:$F$263)*$H157,"")</f>
        <v>3.3925755153643114E-2</v>
      </c>
      <c r="AB157" s="19">
        <f t="shared" si="82"/>
        <v>0.54127329979645122</v>
      </c>
      <c r="AC157" s="19">
        <f t="shared" si="64"/>
        <v>0</v>
      </c>
      <c r="AD157" s="19">
        <f t="shared" si="75"/>
        <v>85.330068008137687</v>
      </c>
      <c r="AE157" s="23">
        <f t="shared" si="65"/>
        <v>1161.8330680081376</v>
      </c>
      <c r="AF157" s="27">
        <f>(1/(2*LOG(3.7*$I157/'Calculation Constants'!$B$4*1000)))^2</f>
        <v>1.1152845500629007E-2</v>
      </c>
      <c r="AG157" s="19">
        <f t="shared" si="66"/>
        <v>0.59621735446906032</v>
      </c>
      <c r="AH157" s="19">
        <f>IF($H157&gt;0,'Calculation Constants'!$B$9*Hydraulics!$K157^2/2/9.81/MAX($F$4:$F$263)*$H157,"")</f>
        <v>3.3925755153643114E-2</v>
      </c>
      <c r="AI157" s="19">
        <f t="shared" si="76"/>
        <v>0.63014310962270348</v>
      </c>
      <c r="AJ157" s="19">
        <f t="shared" si="67"/>
        <v>0</v>
      </c>
      <c r="AK157" s="19">
        <f t="shared" si="77"/>
        <v>81.775275615095097</v>
      </c>
      <c r="AL157" s="23">
        <f t="shared" si="68"/>
        <v>1158.278275615095</v>
      </c>
      <c r="AM157" s="22">
        <f>(1/(2*LOG(3.7*($I157-0.008)/'Calculation Constants'!$B$5*1000)))^2</f>
        <v>1.4104604303736145E-2</v>
      </c>
      <c r="AN157" s="19">
        <f t="shared" si="78"/>
        <v>0.75676661531854661</v>
      </c>
      <c r="AO157" s="19">
        <f>IF($H157&gt;0,'Calculation Constants'!$B$9*Hydraulics!$K157^2/2/9.81/MAX($F$4:$F$263)*$H157,"")</f>
        <v>3.3925755153643114E-2</v>
      </c>
      <c r="AP157" s="19">
        <f t="shared" si="79"/>
        <v>0.79069237047218976</v>
      </c>
      <c r="AQ157" s="19">
        <f t="shared" si="69"/>
        <v>0</v>
      </c>
      <c r="AR157" s="19">
        <f t="shared" si="80"/>
        <v>75.353305181110272</v>
      </c>
      <c r="AS157" s="23">
        <f t="shared" si="70"/>
        <v>1151.8563051811102</v>
      </c>
    </row>
    <row r="158" spans="5:45">
      <c r="E158" s="35" t="str">
        <f t="shared" si="56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1"/>
        <v>2</v>
      </c>
      <c r="I158" s="19">
        <v>2.2000000000000002</v>
      </c>
      <c r="J158" s="36">
        <f>'Flow Rate Calculations'!$B$7</f>
        <v>4.0831050228310497</v>
      </c>
      <c r="K158" s="36">
        <f t="shared" si="71"/>
        <v>1.0741261942924094</v>
      </c>
      <c r="L158" s="37">
        <f>$I158*$K158/'Calculation Constants'!$B$7</f>
        <v>2091219.139330355</v>
      </c>
      <c r="M158" s="37" t="str">
        <f t="shared" si="57"/>
        <v>Greater Dynamic Pressures</v>
      </c>
      <c r="N158" s="23">
        <f t="shared" si="72"/>
        <v>79.53683145605919</v>
      </c>
      <c r="O158" s="57">
        <f t="shared" si="58"/>
        <v>77.295794708340964</v>
      </c>
      <c r="P158" s="66">
        <f>MAX(I158*1000/'Calculation Constants'!$B$14,O158*10*I158*1000/2/('Calculation Constants'!$B$12*1000*'Calculation Constants'!$B$13))</f>
        <v>13.75</v>
      </c>
      <c r="Q158" s="68">
        <f t="shared" si="59"/>
        <v>1482695.7604373412</v>
      </c>
      <c r="R158" s="27">
        <f>(1/(2*LOG(3.7*$I158/'Calculation Constants'!$B$2*1000)))^2</f>
        <v>8.4679866037394684E-3</v>
      </c>
      <c r="S158" s="19">
        <f t="shared" si="73"/>
        <v>0.45268811177167712</v>
      </c>
      <c r="T158" s="19">
        <f>IF($H158&gt;0,'Calculation Constants'!$B$9*Hydraulics!$K158^2/2/9.81/MAX($F$4:$F$263)*$H158,"")</f>
        <v>3.3925755153643114E-2</v>
      </c>
      <c r="U158" s="19">
        <f t="shared" si="74"/>
        <v>0.48661386692532022</v>
      </c>
      <c r="V158" s="19">
        <f t="shared" si="60"/>
        <v>0</v>
      </c>
      <c r="W158" s="19">
        <f t="shared" si="61"/>
        <v>79.53683145605919</v>
      </c>
      <c r="X158" s="23">
        <f t="shared" si="62"/>
        <v>1163.5328314560593</v>
      </c>
      <c r="Y158" s="22">
        <f>(1/(2*LOG(3.7*$I158/'Calculation Constants'!$B$3*1000)))^2</f>
        <v>9.4904462912918219E-3</v>
      </c>
      <c r="Z158" s="19">
        <f t="shared" si="63"/>
        <v>0.50734754464280807</v>
      </c>
      <c r="AA158" s="19">
        <f>IF($H158&gt;0,'Calculation Constants'!$B$9*Hydraulics!$K158^2/2/9.81/MAX($F$4:$F$263)*$H158,"")</f>
        <v>3.3925755153643114E-2</v>
      </c>
      <c r="AB158" s="19">
        <f t="shared" si="82"/>
        <v>0.54127329979645122</v>
      </c>
      <c r="AC158" s="19">
        <f t="shared" si="64"/>
        <v>0</v>
      </c>
      <c r="AD158" s="19">
        <f t="shared" si="75"/>
        <v>77.295794708340964</v>
      </c>
      <c r="AE158" s="23">
        <f t="shared" si="65"/>
        <v>1161.2917947083411</v>
      </c>
      <c r="AF158" s="27">
        <f>(1/(2*LOG(3.7*$I158/'Calculation Constants'!$B$4*1000)))^2</f>
        <v>1.1152845500629007E-2</v>
      </c>
      <c r="AG158" s="19">
        <f t="shared" si="66"/>
        <v>0.59621735446906032</v>
      </c>
      <c r="AH158" s="19">
        <f>IF($H158&gt;0,'Calculation Constants'!$B$9*Hydraulics!$K158^2/2/9.81/MAX($F$4:$F$263)*$H158,"")</f>
        <v>3.3925755153643114E-2</v>
      </c>
      <c r="AI158" s="19">
        <f t="shared" si="76"/>
        <v>0.63014310962270348</v>
      </c>
      <c r="AJ158" s="19">
        <f t="shared" si="67"/>
        <v>0</v>
      </c>
      <c r="AK158" s="19">
        <f t="shared" si="77"/>
        <v>73.652132505472309</v>
      </c>
      <c r="AL158" s="23">
        <f t="shared" si="68"/>
        <v>1157.6481325054724</v>
      </c>
      <c r="AM158" s="22">
        <f>(1/(2*LOG(3.7*($I158-0.008)/'Calculation Constants'!$B$5*1000)))^2</f>
        <v>1.4104604303736145E-2</v>
      </c>
      <c r="AN158" s="19">
        <f t="shared" si="78"/>
        <v>0.75676661531854661</v>
      </c>
      <c r="AO158" s="19">
        <f>IF($H158&gt;0,'Calculation Constants'!$B$9*Hydraulics!$K158^2/2/9.81/MAX($F$4:$F$263)*$H158,"")</f>
        <v>3.3925755153643114E-2</v>
      </c>
      <c r="AP158" s="19">
        <f t="shared" si="79"/>
        <v>0.79069237047218976</v>
      </c>
      <c r="AQ158" s="19">
        <f t="shared" si="69"/>
        <v>0</v>
      </c>
      <c r="AR158" s="19">
        <f t="shared" si="80"/>
        <v>67.069612810637864</v>
      </c>
      <c r="AS158" s="23">
        <f t="shared" si="70"/>
        <v>1151.065612810638</v>
      </c>
    </row>
    <row r="159" spans="5:45">
      <c r="E159" s="35" t="str">
        <f t="shared" si="56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1"/>
        <v>2</v>
      </c>
      <c r="I159" s="19">
        <v>2.2000000000000002</v>
      </c>
      <c r="J159" s="36">
        <f>'Flow Rate Calculations'!$B$7</f>
        <v>4.0831050228310497</v>
      </c>
      <c r="K159" s="36">
        <f t="shared" si="71"/>
        <v>1.0741261942924094</v>
      </c>
      <c r="L159" s="37">
        <f>$I159*$K159/'Calculation Constants'!$B$7</f>
        <v>2091219.139330355</v>
      </c>
      <c r="M159" s="37" t="str">
        <f t="shared" si="57"/>
        <v>Greater Dynamic Pressures</v>
      </c>
      <c r="N159" s="23">
        <f t="shared" si="72"/>
        <v>65.858217589133801</v>
      </c>
      <c r="O159" s="57">
        <f t="shared" si="58"/>
        <v>63.562521408544399</v>
      </c>
      <c r="P159" s="66">
        <f>MAX(I159*1000/'Calculation Constants'!$B$14,O159*10*I159*1000/2/('Calculation Constants'!$B$12*1000*'Calculation Constants'!$B$13))</f>
        <v>13.75</v>
      </c>
      <c r="Q159" s="68">
        <f t="shared" si="59"/>
        <v>1482695.7604373412</v>
      </c>
      <c r="R159" s="27">
        <f>(1/(2*LOG(3.7*$I159/'Calculation Constants'!$B$2*1000)))^2</f>
        <v>8.4679866037394684E-3</v>
      </c>
      <c r="S159" s="19">
        <f t="shared" si="73"/>
        <v>0.45268811177167712</v>
      </c>
      <c r="T159" s="19">
        <f>IF($H159&gt;0,'Calculation Constants'!$B$9*Hydraulics!$K159^2/2/9.81/MAX($F$4:$F$263)*$H159,"")</f>
        <v>3.3925755153643114E-2</v>
      </c>
      <c r="U159" s="19">
        <f t="shared" si="74"/>
        <v>0.48661386692532022</v>
      </c>
      <c r="V159" s="19">
        <f t="shared" si="60"/>
        <v>0</v>
      </c>
      <c r="W159" s="19">
        <f t="shared" si="61"/>
        <v>65.858217589133801</v>
      </c>
      <c r="X159" s="23">
        <f t="shared" si="62"/>
        <v>1163.0462175891339</v>
      </c>
      <c r="Y159" s="22">
        <f>(1/(2*LOG(3.7*$I159/'Calculation Constants'!$B$3*1000)))^2</f>
        <v>9.4904462912918219E-3</v>
      </c>
      <c r="Z159" s="19">
        <f t="shared" si="63"/>
        <v>0.50734754464280807</v>
      </c>
      <c r="AA159" s="19">
        <f>IF($H159&gt;0,'Calculation Constants'!$B$9*Hydraulics!$K159^2/2/9.81/MAX($F$4:$F$263)*$H159,"")</f>
        <v>3.3925755153643114E-2</v>
      </c>
      <c r="AB159" s="19">
        <f t="shared" si="82"/>
        <v>0.54127329979645122</v>
      </c>
      <c r="AC159" s="19">
        <f t="shared" si="64"/>
        <v>0</v>
      </c>
      <c r="AD159" s="19">
        <f t="shared" si="75"/>
        <v>63.562521408544399</v>
      </c>
      <c r="AE159" s="23">
        <f t="shared" si="65"/>
        <v>1160.7505214085445</v>
      </c>
      <c r="AF159" s="27">
        <f>(1/(2*LOG(3.7*$I159/'Calculation Constants'!$B$4*1000)))^2</f>
        <v>1.1152845500629007E-2</v>
      </c>
      <c r="AG159" s="19">
        <f t="shared" si="66"/>
        <v>0.59621735446906032</v>
      </c>
      <c r="AH159" s="19">
        <f>IF($H159&gt;0,'Calculation Constants'!$B$9*Hydraulics!$K159^2/2/9.81/MAX($F$4:$F$263)*$H159,"")</f>
        <v>3.3925755153643114E-2</v>
      </c>
      <c r="AI159" s="19">
        <f t="shared" si="76"/>
        <v>0.63014310962270348</v>
      </c>
      <c r="AJ159" s="19">
        <f t="shared" si="67"/>
        <v>0</v>
      </c>
      <c r="AK159" s="19">
        <f t="shared" si="77"/>
        <v>59.82998939584968</v>
      </c>
      <c r="AL159" s="23">
        <f t="shared" si="68"/>
        <v>1157.0179893958498</v>
      </c>
      <c r="AM159" s="22">
        <f>(1/(2*LOG(3.7*($I159-0.008)/'Calculation Constants'!$B$5*1000)))^2</f>
        <v>1.4104604303736145E-2</v>
      </c>
      <c r="AN159" s="19">
        <f t="shared" si="78"/>
        <v>0.75676661531854661</v>
      </c>
      <c r="AO159" s="19">
        <f>IF($H159&gt;0,'Calculation Constants'!$B$9*Hydraulics!$K159^2/2/9.81/MAX($F$4:$F$263)*$H159,"")</f>
        <v>3.3925755153643114E-2</v>
      </c>
      <c r="AP159" s="19">
        <f t="shared" si="79"/>
        <v>0.79069237047218976</v>
      </c>
      <c r="AQ159" s="19">
        <f t="shared" si="69"/>
        <v>0</v>
      </c>
      <c r="AR159" s="19">
        <f t="shared" si="80"/>
        <v>53.086920440165613</v>
      </c>
      <c r="AS159" s="23">
        <f t="shared" si="70"/>
        <v>1150.2749204401657</v>
      </c>
    </row>
    <row r="160" spans="5:45">
      <c r="E160" s="35" t="str">
        <f t="shared" si="56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1"/>
        <v>2</v>
      </c>
      <c r="I160" s="19">
        <v>2.2000000000000002</v>
      </c>
      <c r="J160" s="36">
        <f>'Flow Rate Calculations'!$B$7</f>
        <v>4.0831050228310497</v>
      </c>
      <c r="K160" s="36">
        <f t="shared" si="71"/>
        <v>1.0741261942924094</v>
      </c>
      <c r="L160" s="37">
        <f>$I160*$K160/'Calculation Constants'!$B$7</f>
        <v>2091219.139330355</v>
      </c>
      <c r="M160" s="37" t="str">
        <f t="shared" si="57"/>
        <v>Greater Dynamic Pressures</v>
      </c>
      <c r="N160" s="23">
        <f t="shared" si="72"/>
        <v>59.014603722208449</v>
      </c>
      <c r="O160" s="57">
        <f t="shared" si="58"/>
        <v>56.66424810874787</v>
      </c>
      <c r="P160" s="66">
        <f>MAX(I160*1000/'Calculation Constants'!$B$14,O160*10*I160*1000/2/('Calculation Constants'!$B$12*1000*'Calculation Constants'!$B$13))</f>
        <v>13.75</v>
      </c>
      <c r="Q160" s="68">
        <f t="shared" si="59"/>
        <v>1482695.7604373412</v>
      </c>
      <c r="R160" s="27">
        <f>(1/(2*LOG(3.7*$I160/'Calculation Constants'!$B$2*1000)))^2</f>
        <v>8.4679866037394684E-3</v>
      </c>
      <c r="S160" s="19">
        <f t="shared" si="73"/>
        <v>0.45268811177167712</v>
      </c>
      <c r="T160" s="19">
        <f>IF($H160&gt;0,'Calculation Constants'!$B$9*Hydraulics!$K160^2/2/9.81/MAX($F$4:$F$263)*$H160,"")</f>
        <v>3.3925755153643114E-2</v>
      </c>
      <c r="U160" s="19">
        <f t="shared" si="74"/>
        <v>0.48661386692532022</v>
      </c>
      <c r="V160" s="19">
        <f t="shared" si="60"/>
        <v>0</v>
      </c>
      <c r="W160" s="19">
        <f t="shared" si="61"/>
        <v>59.014603722208449</v>
      </c>
      <c r="X160" s="23">
        <f t="shared" si="62"/>
        <v>1162.5596037222085</v>
      </c>
      <c r="Y160" s="22">
        <f>(1/(2*LOG(3.7*$I160/'Calculation Constants'!$B$3*1000)))^2</f>
        <v>9.4904462912918219E-3</v>
      </c>
      <c r="Z160" s="19">
        <f t="shared" si="63"/>
        <v>0.50734754464280807</v>
      </c>
      <c r="AA160" s="19">
        <f>IF($H160&gt;0,'Calculation Constants'!$B$9*Hydraulics!$K160^2/2/9.81/MAX($F$4:$F$263)*$H160,"")</f>
        <v>3.3925755153643114E-2</v>
      </c>
      <c r="AB160" s="19">
        <f t="shared" si="82"/>
        <v>0.54127329979645122</v>
      </c>
      <c r="AC160" s="19">
        <f t="shared" si="64"/>
        <v>0</v>
      </c>
      <c r="AD160" s="19">
        <f t="shared" si="75"/>
        <v>56.66424810874787</v>
      </c>
      <c r="AE160" s="23">
        <f t="shared" si="65"/>
        <v>1160.2092481087479</v>
      </c>
      <c r="AF160" s="27">
        <f>(1/(2*LOG(3.7*$I160/'Calculation Constants'!$B$4*1000)))^2</f>
        <v>1.1152845500629007E-2</v>
      </c>
      <c r="AG160" s="19">
        <f t="shared" si="66"/>
        <v>0.59621735446906032</v>
      </c>
      <c r="AH160" s="19">
        <f>IF($H160&gt;0,'Calculation Constants'!$B$9*Hydraulics!$K160^2/2/9.81/MAX($F$4:$F$263)*$H160,"")</f>
        <v>3.3925755153643114E-2</v>
      </c>
      <c r="AI160" s="19">
        <f t="shared" si="76"/>
        <v>0.63014310962270348</v>
      </c>
      <c r="AJ160" s="19">
        <f t="shared" si="67"/>
        <v>0</v>
      </c>
      <c r="AK160" s="19">
        <f t="shared" si="77"/>
        <v>52.842846286227086</v>
      </c>
      <c r="AL160" s="23">
        <f t="shared" si="68"/>
        <v>1156.3878462862272</v>
      </c>
      <c r="AM160" s="22">
        <f>(1/(2*LOG(3.7*($I160-0.008)/'Calculation Constants'!$B$5*1000)))^2</f>
        <v>1.4104604303736145E-2</v>
      </c>
      <c r="AN160" s="19">
        <f t="shared" si="78"/>
        <v>0.75676661531854661</v>
      </c>
      <c r="AO160" s="19">
        <f>IF($H160&gt;0,'Calculation Constants'!$B$9*Hydraulics!$K160^2/2/9.81/MAX($F$4:$F$263)*$H160,"")</f>
        <v>3.3925755153643114E-2</v>
      </c>
      <c r="AP160" s="19">
        <f t="shared" si="79"/>
        <v>0.79069237047218976</v>
      </c>
      <c r="AQ160" s="19">
        <f t="shared" si="69"/>
        <v>0</v>
      </c>
      <c r="AR160" s="19">
        <f t="shared" si="80"/>
        <v>45.939228069693399</v>
      </c>
      <c r="AS160" s="23">
        <f t="shared" si="70"/>
        <v>1149.4842280696935</v>
      </c>
    </row>
    <row r="161" spans="5:45">
      <c r="E161" s="35" t="str">
        <f t="shared" si="56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1"/>
        <v>2</v>
      </c>
      <c r="I161" s="19">
        <v>2.2000000000000002</v>
      </c>
      <c r="J161" s="36">
        <f>'Flow Rate Calculations'!$B$7</f>
        <v>4.0831050228310497</v>
      </c>
      <c r="K161" s="36">
        <f t="shared" si="71"/>
        <v>1.0741261942924094</v>
      </c>
      <c r="L161" s="37">
        <f>$I161*$K161/'Calculation Constants'!$B$7</f>
        <v>2091219.139330355</v>
      </c>
      <c r="M161" s="37" t="str">
        <f t="shared" si="57"/>
        <v>Greater Dynamic Pressures</v>
      </c>
      <c r="N161" s="23">
        <f t="shared" si="72"/>
        <v>56.898989855283162</v>
      </c>
      <c r="O161" s="57">
        <f t="shared" si="58"/>
        <v>54.493974808951407</v>
      </c>
      <c r="P161" s="66">
        <f>MAX(I161*1000/'Calculation Constants'!$B$14,O161*10*I161*1000/2/('Calculation Constants'!$B$12*1000*'Calculation Constants'!$B$13))</f>
        <v>13.75</v>
      </c>
      <c r="Q161" s="68">
        <f t="shared" si="59"/>
        <v>1482695.7604373412</v>
      </c>
      <c r="R161" s="27">
        <f>(1/(2*LOG(3.7*$I161/'Calculation Constants'!$B$2*1000)))^2</f>
        <v>8.4679866037394684E-3</v>
      </c>
      <c r="S161" s="19">
        <f t="shared" si="73"/>
        <v>0.45268811177167712</v>
      </c>
      <c r="T161" s="19">
        <f>IF($H161&gt;0,'Calculation Constants'!$B$9*Hydraulics!$K161^2/2/9.81/MAX($F$4:$F$263)*$H161,"")</f>
        <v>3.3925755153643114E-2</v>
      </c>
      <c r="U161" s="19">
        <f t="shared" si="74"/>
        <v>0.48661386692532022</v>
      </c>
      <c r="V161" s="19">
        <f t="shared" si="60"/>
        <v>0</v>
      </c>
      <c r="W161" s="19">
        <f t="shared" si="61"/>
        <v>56.898989855283162</v>
      </c>
      <c r="X161" s="23">
        <f t="shared" si="62"/>
        <v>1162.0729898552831</v>
      </c>
      <c r="Y161" s="22">
        <f>(1/(2*LOG(3.7*$I161/'Calculation Constants'!$B$3*1000)))^2</f>
        <v>9.4904462912918219E-3</v>
      </c>
      <c r="Z161" s="19">
        <f t="shared" si="63"/>
        <v>0.50734754464280807</v>
      </c>
      <c r="AA161" s="19">
        <f>IF($H161&gt;0,'Calculation Constants'!$B$9*Hydraulics!$K161^2/2/9.81/MAX($F$4:$F$263)*$H161,"")</f>
        <v>3.3925755153643114E-2</v>
      </c>
      <c r="AB161" s="19">
        <f t="shared" si="82"/>
        <v>0.54127329979645122</v>
      </c>
      <c r="AC161" s="19">
        <f t="shared" si="64"/>
        <v>0</v>
      </c>
      <c r="AD161" s="19">
        <f t="shared" si="75"/>
        <v>54.493974808951407</v>
      </c>
      <c r="AE161" s="23">
        <f t="shared" si="65"/>
        <v>1159.6679748089514</v>
      </c>
      <c r="AF161" s="27">
        <f>(1/(2*LOG(3.7*$I161/'Calculation Constants'!$B$4*1000)))^2</f>
        <v>1.1152845500629007E-2</v>
      </c>
      <c r="AG161" s="19">
        <f t="shared" si="66"/>
        <v>0.59621735446906032</v>
      </c>
      <c r="AH161" s="19">
        <f>IF($H161&gt;0,'Calculation Constants'!$B$9*Hydraulics!$K161^2/2/9.81/MAX($F$4:$F$263)*$H161,"")</f>
        <v>3.3925755153643114E-2</v>
      </c>
      <c r="AI161" s="19">
        <f t="shared" si="76"/>
        <v>0.63014310962270348</v>
      </c>
      <c r="AJ161" s="19">
        <f t="shared" si="67"/>
        <v>0</v>
      </c>
      <c r="AK161" s="19">
        <f t="shared" si="77"/>
        <v>50.583703176604558</v>
      </c>
      <c r="AL161" s="23">
        <f t="shared" si="68"/>
        <v>1155.7577031766045</v>
      </c>
      <c r="AM161" s="22">
        <f>(1/(2*LOG(3.7*($I161-0.008)/'Calculation Constants'!$B$5*1000)))^2</f>
        <v>1.4104604303736145E-2</v>
      </c>
      <c r="AN161" s="19">
        <f t="shared" si="78"/>
        <v>0.75676661531854661</v>
      </c>
      <c r="AO161" s="19">
        <f>IF($H161&gt;0,'Calculation Constants'!$B$9*Hydraulics!$K161^2/2/9.81/MAX($F$4:$F$263)*$H161,"")</f>
        <v>3.3925755153643114E-2</v>
      </c>
      <c r="AP161" s="19">
        <f t="shared" si="79"/>
        <v>0.79069237047218976</v>
      </c>
      <c r="AQ161" s="19">
        <f t="shared" si="69"/>
        <v>0</v>
      </c>
      <c r="AR161" s="19">
        <f t="shared" si="80"/>
        <v>43.519535699221251</v>
      </c>
      <c r="AS161" s="23">
        <f t="shared" si="70"/>
        <v>1148.6935356992212</v>
      </c>
    </row>
    <row r="162" spans="5:45">
      <c r="E162" s="35" t="str">
        <f t="shared" si="56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1"/>
        <v>2</v>
      </c>
      <c r="I162" s="19">
        <v>2.2000000000000002</v>
      </c>
      <c r="J162" s="36">
        <f>'Flow Rate Calculations'!$B$7</f>
        <v>4.0831050228310497</v>
      </c>
      <c r="K162" s="36">
        <f t="shared" si="71"/>
        <v>1.0741261942924094</v>
      </c>
      <c r="L162" s="37">
        <f>$I162*$K162/'Calculation Constants'!$B$7</f>
        <v>2091219.139330355</v>
      </c>
      <c r="M162" s="37" t="str">
        <f t="shared" si="57"/>
        <v>Greater Dynamic Pressures</v>
      </c>
      <c r="N162" s="23">
        <f t="shared" si="72"/>
        <v>49.929375988357833</v>
      </c>
      <c r="O162" s="57">
        <f t="shared" si="58"/>
        <v>47.469701509154902</v>
      </c>
      <c r="P162" s="66">
        <f>MAX(I162*1000/'Calculation Constants'!$B$14,O162*10*I162*1000/2/('Calculation Constants'!$B$12*1000*'Calculation Constants'!$B$13))</f>
        <v>13.75</v>
      </c>
      <c r="Q162" s="68">
        <f t="shared" si="59"/>
        <v>1482695.7604373412</v>
      </c>
      <c r="R162" s="27">
        <f>(1/(2*LOG(3.7*$I162/'Calculation Constants'!$B$2*1000)))^2</f>
        <v>8.4679866037394684E-3</v>
      </c>
      <c r="S162" s="19">
        <f t="shared" si="73"/>
        <v>0.45268811177167712</v>
      </c>
      <c r="T162" s="19">
        <f>IF($H162&gt;0,'Calculation Constants'!$B$9*Hydraulics!$K162^2/2/9.81/MAX($F$4:$F$263)*$H162,"")</f>
        <v>3.3925755153643114E-2</v>
      </c>
      <c r="U162" s="19">
        <f t="shared" si="74"/>
        <v>0.48661386692532022</v>
      </c>
      <c r="V162" s="19">
        <f t="shared" si="60"/>
        <v>0</v>
      </c>
      <c r="W162" s="19">
        <f t="shared" si="61"/>
        <v>49.929375988357833</v>
      </c>
      <c r="X162" s="23">
        <f t="shared" si="62"/>
        <v>1161.5863759883578</v>
      </c>
      <c r="Y162" s="22">
        <f>(1/(2*LOG(3.7*$I162/'Calculation Constants'!$B$3*1000)))^2</f>
        <v>9.4904462912918219E-3</v>
      </c>
      <c r="Z162" s="19">
        <f t="shared" si="63"/>
        <v>0.50734754464280807</v>
      </c>
      <c r="AA162" s="19">
        <f>IF($H162&gt;0,'Calculation Constants'!$B$9*Hydraulics!$K162^2/2/9.81/MAX($F$4:$F$263)*$H162,"")</f>
        <v>3.3925755153643114E-2</v>
      </c>
      <c r="AB162" s="19">
        <f t="shared" si="82"/>
        <v>0.54127329979645122</v>
      </c>
      <c r="AC162" s="19">
        <f t="shared" si="64"/>
        <v>0</v>
      </c>
      <c r="AD162" s="19">
        <f t="shared" si="75"/>
        <v>47.469701509154902</v>
      </c>
      <c r="AE162" s="23">
        <f t="shared" si="65"/>
        <v>1159.1267015091548</v>
      </c>
      <c r="AF162" s="27">
        <f>(1/(2*LOG(3.7*$I162/'Calculation Constants'!$B$4*1000)))^2</f>
        <v>1.1152845500629007E-2</v>
      </c>
      <c r="AG162" s="19">
        <f t="shared" si="66"/>
        <v>0.59621735446906032</v>
      </c>
      <c r="AH162" s="19">
        <f>IF($H162&gt;0,'Calculation Constants'!$B$9*Hydraulics!$K162^2/2/9.81/MAX($F$4:$F$263)*$H162,"")</f>
        <v>3.3925755153643114E-2</v>
      </c>
      <c r="AI162" s="19">
        <f t="shared" si="76"/>
        <v>0.63014310962270348</v>
      </c>
      <c r="AJ162" s="19">
        <f t="shared" si="67"/>
        <v>0</v>
      </c>
      <c r="AK162" s="19">
        <f t="shared" si="77"/>
        <v>43.470560066981989</v>
      </c>
      <c r="AL162" s="23">
        <f t="shared" si="68"/>
        <v>1155.1275600669819</v>
      </c>
      <c r="AM162" s="22">
        <f>(1/(2*LOG(3.7*($I162-0.008)/'Calculation Constants'!$B$5*1000)))^2</f>
        <v>1.4104604303736145E-2</v>
      </c>
      <c r="AN162" s="19">
        <f t="shared" si="78"/>
        <v>0.75676661531854661</v>
      </c>
      <c r="AO162" s="19">
        <f>IF($H162&gt;0,'Calculation Constants'!$B$9*Hydraulics!$K162^2/2/9.81/MAX($F$4:$F$263)*$H162,"")</f>
        <v>3.3925755153643114E-2</v>
      </c>
      <c r="AP162" s="19">
        <f t="shared" si="79"/>
        <v>0.79069237047218976</v>
      </c>
      <c r="AQ162" s="19">
        <f t="shared" si="69"/>
        <v>0</v>
      </c>
      <c r="AR162" s="19">
        <f t="shared" si="80"/>
        <v>36.245843328749061</v>
      </c>
      <c r="AS162" s="23">
        <f t="shared" si="70"/>
        <v>1147.902843328749</v>
      </c>
    </row>
    <row r="163" spans="5:45">
      <c r="E163" s="35" t="str">
        <f t="shared" si="56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1"/>
        <v>2</v>
      </c>
      <c r="I163" s="19">
        <v>2.2000000000000002</v>
      </c>
      <c r="J163" s="36">
        <f>'Flow Rate Calculations'!$B$7</f>
        <v>4.0831050228310497</v>
      </c>
      <c r="K163" s="36">
        <f t="shared" si="71"/>
        <v>1.0741261942924094</v>
      </c>
      <c r="L163" s="37">
        <f>$I163*$K163/'Calculation Constants'!$B$7</f>
        <v>2091219.139330355</v>
      </c>
      <c r="M163" s="37" t="str">
        <f t="shared" si="57"/>
        <v>Greater Dynamic Pressures</v>
      </c>
      <c r="N163" s="23">
        <f t="shared" si="72"/>
        <v>38.164762121432432</v>
      </c>
      <c r="O163" s="57">
        <f t="shared" si="58"/>
        <v>35.650428209358324</v>
      </c>
      <c r="P163" s="66">
        <f>MAX(I163*1000/'Calculation Constants'!$B$14,O163*10*I163*1000/2/('Calculation Constants'!$B$12*1000*'Calculation Constants'!$B$13))</f>
        <v>13.75</v>
      </c>
      <c r="Q163" s="68">
        <f t="shared" si="59"/>
        <v>1482695.7604373412</v>
      </c>
      <c r="R163" s="27">
        <f>(1/(2*LOG(3.7*$I163/'Calculation Constants'!$B$2*1000)))^2</f>
        <v>8.4679866037394684E-3</v>
      </c>
      <c r="S163" s="19">
        <f t="shared" si="73"/>
        <v>0.45268811177167712</v>
      </c>
      <c r="T163" s="19">
        <f>IF($H163&gt;0,'Calculation Constants'!$B$9*Hydraulics!$K163^2/2/9.81/MAX($F$4:$F$263)*$H163,"")</f>
        <v>3.3925755153643114E-2</v>
      </c>
      <c r="U163" s="19">
        <f t="shared" si="74"/>
        <v>0.48661386692532022</v>
      </c>
      <c r="V163" s="19">
        <f t="shared" si="60"/>
        <v>0</v>
      </c>
      <c r="W163" s="19">
        <f t="shared" si="61"/>
        <v>38.164762121432432</v>
      </c>
      <c r="X163" s="23">
        <f t="shared" si="62"/>
        <v>1161.0997621214324</v>
      </c>
      <c r="Y163" s="22">
        <f>(1/(2*LOG(3.7*$I163/'Calculation Constants'!$B$3*1000)))^2</f>
        <v>9.4904462912918219E-3</v>
      </c>
      <c r="Z163" s="19">
        <f t="shared" si="63"/>
        <v>0.50734754464280807</v>
      </c>
      <c r="AA163" s="19">
        <f>IF($H163&gt;0,'Calculation Constants'!$B$9*Hydraulics!$K163^2/2/9.81/MAX($F$4:$F$263)*$H163,"")</f>
        <v>3.3925755153643114E-2</v>
      </c>
      <c r="AB163" s="19">
        <f t="shared" si="82"/>
        <v>0.54127329979645122</v>
      </c>
      <c r="AC163" s="19">
        <f t="shared" si="64"/>
        <v>0</v>
      </c>
      <c r="AD163" s="19">
        <f t="shared" si="75"/>
        <v>35.650428209358324</v>
      </c>
      <c r="AE163" s="23">
        <f t="shared" si="65"/>
        <v>1158.5854282093583</v>
      </c>
      <c r="AF163" s="27">
        <f>(1/(2*LOG(3.7*$I163/'Calculation Constants'!$B$4*1000)))^2</f>
        <v>1.1152845500629007E-2</v>
      </c>
      <c r="AG163" s="19">
        <f t="shared" si="66"/>
        <v>0.59621735446906032</v>
      </c>
      <c r="AH163" s="19">
        <f>IF($H163&gt;0,'Calculation Constants'!$B$9*Hydraulics!$K163^2/2/9.81/MAX($F$4:$F$263)*$H163,"")</f>
        <v>3.3925755153643114E-2</v>
      </c>
      <c r="AI163" s="19">
        <f t="shared" si="76"/>
        <v>0.63014310962270348</v>
      </c>
      <c r="AJ163" s="19">
        <f t="shared" si="67"/>
        <v>0</v>
      </c>
      <c r="AK163" s="19">
        <f t="shared" si="77"/>
        <v>31.562416957359346</v>
      </c>
      <c r="AL163" s="23">
        <f t="shared" si="68"/>
        <v>1154.4974169573593</v>
      </c>
      <c r="AM163" s="22">
        <f>(1/(2*LOG(3.7*($I163-0.008)/'Calculation Constants'!$B$5*1000)))^2</f>
        <v>1.4104604303736145E-2</v>
      </c>
      <c r="AN163" s="19">
        <f t="shared" si="78"/>
        <v>0.75676661531854661</v>
      </c>
      <c r="AO163" s="19">
        <f>IF($H163&gt;0,'Calculation Constants'!$B$9*Hydraulics!$K163^2/2/9.81/MAX($F$4:$F$263)*$H163,"")</f>
        <v>3.3925755153643114E-2</v>
      </c>
      <c r="AP163" s="19">
        <f t="shared" si="79"/>
        <v>0.79069237047218976</v>
      </c>
      <c r="AQ163" s="19">
        <f t="shared" si="69"/>
        <v>0</v>
      </c>
      <c r="AR163" s="19">
        <f t="shared" si="80"/>
        <v>24.177150958276798</v>
      </c>
      <c r="AS163" s="23">
        <f t="shared" si="70"/>
        <v>1147.1121509582767</v>
      </c>
    </row>
    <row r="164" spans="5:45">
      <c r="E164" s="35" t="str">
        <f t="shared" si="56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1"/>
        <v>2</v>
      </c>
      <c r="I164" s="19">
        <v>2.2000000000000002</v>
      </c>
      <c r="J164" s="36">
        <f>'Flow Rate Calculations'!$B$7</f>
        <v>4.0831050228310497</v>
      </c>
      <c r="K164" s="36">
        <f t="shared" si="71"/>
        <v>1.0741261942924094</v>
      </c>
      <c r="L164" s="37">
        <f>$I164*$K164/'Calculation Constants'!$B$7</f>
        <v>2091219.139330355</v>
      </c>
      <c r="M164" s="37" t="str">
        <f t="shared" si="57"/>
        <v>Greater Dynamic Pressures</v>
      </c>
      <c r="N164" s="23">
        <f t="shared" si="72"/>
        <v>32.416148254507107</v>
      </c>
      <c r="O164" s="57">
        <f t="shared" si="58"/>
        <v>29.847154909561823</v>
      </c>
      <c r="P164" s="66">
        <f>MAX(I164*1000/'Calculation Constants'!$B$14,O164*10*I164*1000/2/('Calculation Constants'!$B$12*1000*'Calculation Constants'!$B$13))</f>
        <v>13.75</v>
      </c>
      <c r="Q164" s="68">
        <f t="shared" si="59"/>
        <v>1482695.7604373412</v>
      </c>
      <c r="R164" s="27">
        <f>(1/(2*LOG(3.7*$I164/'Calculation Constants'!$B$2*1000)))^2</f>
        <v>8.4679866037394684E-3</v>
      </c>
      <c r="S164" s="19">
        <f t="shared" si="73"/>
        <v>0.45268811177167712</v>
      </c>
      <c r="T164" s="19">
        <f>IF($H164&gt;0,'Calculation Constants'!$B$9*Hydraulics!$K164^2/2/9.81/MAX($F$4:$F$263)*$H164,"")</f>
        <v>3.3925755153643114E-2</v>
      </c>
      <c r="U164" s="19">
        <f t="shared" si="74"/>
        <v>0.48661386692532022</v>
      </c>
      <c r="V164" s="19">
        <f t="shared" si="60"/>
        <v>0</v>
      </c>
      <c r="W164" s="19">
        <f t="shared" si="61"/>
        <v>32.416148254507107</v>
      </c>
      <c r="X164" s="23">
        <f t="shared" si="62"/>
        <v>1160.613148254507</v>
      </c>
      <c r="Y164" s="22">
        <f>(1/(2*LOG(3.7*$I164/'Calculation Constants'!$B$3*1000)))^2</f>
        <v>9.4904462912918219E-3</v>
      </c>
      <c r="Z164" s="19">
        <f t="shared" si="63"/>
        <v>0.50734754464280807</v>
      </c>
      <c r="AA164" s="19">
        <f>IF($H164&gt;0,'Calculation Constants'!$B$9*Hydraulics!$K164^2/2/9.81/MAX($F$4:$F$263)*$H164,"")</f>
        <v>3.3925755153643114E-2</v>
      </c>
      <c r="AB164" s="19">
        <f t="shared" si="82"/>
        <v>0.54127329979645122</v>
      </c>
      <c r="AC164" s="19">
        <f t="shared" si="64"/>
        <v>0</v>
      </c>
      <c r="AD164" s="19">
        <f t="shared" si="75"/>
        <v>29.847154909561823</v>
      </c>
      <c r="AE164" s="23">
        <f t="shared" si="65"/>
        <v>1158.0441549095617</v>
      </c>
      <c r="AF164" s="27">
        <f>(1/(2*LOG(3.7*$I164/'Calculation Constants'!$B$4*1000)))^2</f>
        <v>1.1152845500629007E-2</v>
      </c>
      <c r="AG164" s="19">
        <f t="shared" si="66"/>
        <v>0.59621735446906032</v>
      </c>
      <c r="AH164" s="19">
        <f>IF($H164&gt;0,'Calculation Constants'!$B$9*Hydraulics!$K164^2/2/9.81/MAX($F$4:$F$263)*$H164,"")</f>
        <v>3.3925755153643114E-2</v>
      </c>
      <c r="AI164" s="19">
        <f t="shared" si="76"/>
        <v>0.63014310962270348</v>
      </c>
      <c r="AJ164" s="19">
        <f t="shared" si="67"/>
        <v>0</v>
      </c>
      <c r="AK164" s="19">
        <f t="shared" si="77"/>
        <v>25.67027384773678</v>
      </c>
      <c r="AL164" s="23">
        <f t="shared" si="68"/>
        <v>1153.8672738477367</v>
      </c>
      <c r="AM164" s="22">
        <f>(1/(2*LOG(3.7*($I164-0.008)/'Calculation Constants'!$B$5*1000)))^2</f>
        <v>1.4104604303736145E-2</v>
      </c>
      <c r="AN164" s="19">
        <f t="shared" si="78"/>
        <v>0.75676661531854661</v>
      </c>
      <c r="AO164" s="19">
        <f>IF($H164&gt;0,'Calculation Constants'!$B$9*Hydraulics!$K164^2/2/9.81/MAX($F$4:$F$263)*$H164,"")</f>
        <v>3.3925755153643114E-2</v>
      </c>
      <c r="AP164" s="19">
        <f t="shared" si="79"/>
        <v>0.79069237047218976</v>
      </c>
      <c r="AQ164" s="19">
        <f t="shared" si="69"/>
        <v>0</v>
      </c>
      <c r="AR164" s="19">
        <f t="shared" si="80"/>
        <v>18.124458587804611</v>
      </c>
      <c r="AS164" s="23">
        <f t="shared" si="70"/>
        <v>1146.3214585878045</v>
      </c>
    </row>
    <row r="165" spans="5:45">
      <c r="E165" s="35" t="str">
        <f t="shared" si="56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1"/>
        <v>2</v>
      </c>
      <c r="I165" s="19">
        <v>2.2000000000000002</v>
      </c>
      <c r="J165" s="36">
        <f>'Flow Rate Calculations'!$B$7</f>
        <v>4.0831050228310497</v>
      </c>
      <c r="K165" s="36">
        <f t="shared" si="71"/>
        <v>1.0741261942924094</v>
      </c>
      <c r="L165" s="37">
        <f>$I165*$K165/'Calculation Constants'!$B$7</f>
        <v>2091219.139330355</v>
      </c>
      <c r="M165" s="37" t="str">
        <f t="shared" si="57"/>
        <v>Greater Dynamic Pressures</v>
      </c>
      <c r="N165" s="23">
        <f t="shared" si="72"/>
        <v>27.565534387581692</v>
      </c>
      <c r="O165" s="57">
        <f t="shared" si="58"/>
        <v>24.941881609765232</v>
      </c>
      <c r="P165" s="66">
        <f>MAX(I165*1000/'Calculation Constants'!$B$14,O165*10*I165*1000/2/('Calculation Constants'!$B$12*1000*'Calculation Constants'!$B$13))</f>
        <v>13.75</v>
      </c>
      <c r="Q165" s="68">
        <f t="shared" si="59"/>
        <v>1482695.7604373412</v>
      </c>
      <c r="R165" s="27">
        <f>(1/(2*LOG(3.7*$I165/'Calculation Constants'!$B$2*1000)))^2</f>
        <v>8.4679866037394684E-3</v>
      </c>
      <c r="S165" s="19">
        <f t="shared" si="73"/>
        <v>0.45268811177167712</v>
      </c>
      <c r="T165" s="19">
        <f>IF($H165&gt;0,'Calculation Constants'!$B$9*Hydraulics!$K165^2/2/9.81/MAX($F$4:$F$263)*$H165,"")</f>
        <v>3.3925755153643114E-2</v>
      </c>
      <c r="U165" s="19">
        <f t="shared" si="74"/>
        <v>0.48661386692532022</v>
      </c>
      <c r="V165" s="19">
        <f t="shared" si="60"/>
        <v>0</v>
      </c>
      <c r="W165" s="19">
        <f t="shared" si="61"/>
        <v>27.565534387581692</v>
      </c>
      <c r="X165" s="23">
        <f t="shared" si="62"/>
        <v>1160.1265343875816</v>
      </c>
      <c r="Y165" s="22">
        <f>(1/(2*LOG(3.7*$I165/'Calculation Constants'!$B$3*1000)))^2</f>
        <v>9.4904462912918219E-3</v>
      </c>
      <c r="Z165" s="19">
        <f t="shared" si="63"/>
        <v>0.50734754464280807</v>
      </c>
      <c r="AA165" s="19">
        <f>IF($H165&gt;0,'Calculation Constants'!$B$9*Hydraulics!$K165^2/2/9.81/MAX($F$4:$F$263)*$H165,"")</f>
        <v>3.3925755153643114E-2</v>
      </c>
      <c r="AB165" s="19">
        <f t="shared" si="82"/>
        <v>0.54127329979645122</v>
      </c>
      <c r="AC165" s="19">
        <f t="shared" si="64"/>
        <v>0</v>
      </c>
      <c r="AD165" s="19">
        <f t="shared" si="75"/>
        <v>24.941881609765232</v>
      </c>
      <c r="AE165" s="23">
        <f t="shared" si="65"/>
        <v>1157.5028816097652</v>
      </c>
      <c r="AF165" s="27">
        <f>(1/(2*LOG(3.7*$I165/'Calculation Constants'!$B$4*1000)))^2</f>
        <v>1.1152845500629007E-2</v>
      </c>
      <c r="AG165" s="19">
        <f t="shared" si="66"/>
        <v>0.59621735446906032</v>
      </c>
      <c r="AH165" s="19">
        <f>IF($H165&gt;0,'Calculation Constants'!$B$9*Hydraulics!$K165^2/2/9.81/MAX($F$4:$F$263)*$H165,"")</f>
        <v>3.3925755153643114E-2</v>
      </c>
      <c r="AI165" s="19">
        <f t="shared" si="76"/>
        <v>0.63014310962270348</v>
      </c>
      <c r="AJ165" s="19">
        <f t="shared" si="67"/>
        <v>0</v>
      </c>
      <c r="AK165" s="19">
        <f t="shared" si="77"/>
        <v>20.676130738114125</v>
      </c>
      <c r="AL165" s="23">
        <f t="shared" si="68"/>
        <v>1153.237130738114</v>
      </c>
      <c r="AM165" s="22">
        <f>(1/(2*LOG(3.7*($I165-0.008)/'Calculation Constants'!$B$5*1000)))^2</f>
        <v>1.4104604303736145E-2</v>
      </c>
      <c r="AN165" s="19">
        <f t="shared" si="78"/>
        <v>0.75676661531854661</v>
      </c>
      <c r="AO165" s="19">
        <f>IF($H165&gt;0,'Calculation Constants'!$B$9*Hydraulics!$K165^2/2/9.81/MAX($F$4:$F$263)*$H165,"")</f>
        <v>3.3925755153643114E-2</v>
      </c>
      <c r="AP165" s="19">
        <f t="shared" si="79"/>
        <v>0.79069237047218976</v>
      </c>
      <c r="AQ165" s="19">
        <f t="shared" si="69"/>
        <v>0</v>
      </c>
      <c r="AR165" s="19">
        <f t="shared" si="80"/>
        <v>12.969766217332335</v>
      </c>
      <c r="AS165" s="23">
        <f t="shared" si="70"/>
        <v>1145.5307662173323</v>
      </c>
    </row>
    <row r="166" spans="5:45">
      <c r="E166" s="35" t="str">
        <f t="shared" si="56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1"/>
        <v>2</v>
      </c>
      <c r="I166" s="19">
        <v>2.2000000000000002</v>
      </c>
      <c r="J166" s="36">
        <f>'Flow Rate Calculations'!$B$7</f>
        <v>4.0831050228310497</v>
      </c>
      <c r="K166" s="36">
        <f t="shared" si="71"/>
        <v>1.0741261942924094</v>
      </c>
      <c r="L166" s="37">
        <f>$I166*$K166/'Calculation Constants'!$B$7</f>
        <v>2091219.139330355</v>
      </c>
      <c r="M166" s="37" t="str">
        <f t="shared" si="57"/>
        <v>Greater Dynamic Pressures</v>
      </c>
      <c r="N166" s="23">
        <f t="shared" si="72"/>
        <v>27.785920520656191</v>
      </c>
      <c r="O166" s="57">
        <f t="shared" si="58"/>
        <v>25.107608309968555</v>
      </c>
      <c r="P166" s="66">
        <f>MAX(I166*1000/'Calculation Constants'!$B$14,O166*10*I166*1000/2/('Calculation Constants'!$B$12*1000*'Calculation Constants'!$B$13))</f>
        <v>13.75</v>
      </c>
      <c r="Q166" s="68">
        <f t="shared" si="59"/>
        <v>1482695.7604373412</v>
      </c>
      <c r="R166" s="27">
        <f>(1/(2*LOG(3.7*$I166/'Calculation Constants'!$B$2*1000)))^2</f>
        <v>8.4679866037394684E-3</v>
      </c>
      <c r="S166" s="19">
        <f t="shared" si="73"/>
        <v>0.45268811177167712</v>
      </c>
      <c r="T166" s="19">
        <f>IF($H166&gt;0,'Calculation Constants'!$B$9*Hydraulics!$K166^2/2/9.81/MAX($F$4:$F$263)*$H166,"")</f>
        <v>3.3925755153643114E-2</v>
      </c>
      <c r="U166" s="19">
        <f t="shared" si="74"/>
        <v>0.48661386692532022</v>
      </c>
      <c r="V166" s="19">
        <f t="shared" si="60"/>
        <v>0</v>
      </c>
      <c r="W166" s="19">
        <f t="shared" si="61"/>
        <v>27.785920520656191</v>
      </c>
      <c r="X166" s="23">
        <f t="shared" si="62"/>
        <v>1159.6399205206562</v>
      </c>
      <c r="Y166" s="22">
        <f>(1/(2*LOG(3.7*$I166/'Calculation Constants'!$B$3*1000)))^2</f>
        <v>9.4904462912918219E-3</v>
      </c>
      <c r="Z166" s="19">
        <f t="shared" si="63"/>
        <v>0.50734754464280807</v>
      </c>
      <c r="AA166" s="19">
        <f>IF($H166&gt;0,'Calculation Constants'!$B$9*Hydraulics!$K166^2/2/9.81/MAX($F$4:$F$263)*$H166,"")</f>
        <v>3.3925755153643114E-2</v>
      </c>
      <c r="AB166" s="19">
        <f t="shared" si="82"/>
        <v>0.54127329979645122</v>
      </c>
      <c r="AC166" s="19">
        <f t="shared" si="64"/>
        <v>0</v>
      </c>
      <c r="AD166" s="19">
        <f t="shared" si="75"/>
        <v>25.107608309968555</v>
      </c>
      <c r="AE166" s="23">
        <f t="shared" si="65"/>
        <v>1156.9616083099686</v>
      </c>
      <c r="AF166" s="27">
        <f>(1/(2*LOG(3.7*$I166/'Calculation Constants'!$B$4*1000)))^2</f>
        <v>1.1152845500629007E-2</v>
      </c>
      <c r="AG166" s="19">
        <f t="shared" si="66"/>
        <v>0.59621735446906032</v>
      </c>
      <c r="AH166" s="19">
        <f>IF($H166&gt;0,'Calculation Constants'!$B$9*Hydraulics!$K166^2/2/9.81/MAX($F$4:$F$263)*$H166,"")</f>
        <v>3.3925755153643114E-2</v>
      </c>
      <c r="AI166" s="19">
        <f t="shared" si="76"/>
        <v>0.63014310962270348</v>
      </c>
      <c r="AJ166" s="19">
        <f t="shared" si="67"/>
        <v>0</v>
      </c>
      <c r="AK166" s="19">
        <f t="shared" si="77"/>
        <v>20.752987628491383</v>
      </c>
      <c r="AL166" s="23">
        <f t="shared" si="68"/>
        <v>1152.6069876284914</v>
      </c>
      <c r="AM166" s="22">
        <f>(1/(2*LOG(3.7*($I166-0.008)/'Calculation Constants'!$B$5*1000)))^2</f>
        <v>1.4104604303736145E-2</v>
      </c>
      <c r="AN166" s="19">
        <f t="shared" si="78"/>
        <v>0.75676661531854661</v>
      </c>
      <c r="AO166" s="19">
        <f>IF($H166&gt;0,'Calculation Constants'!$B$9*Hydraulics!$K166^2/2/9.81/MAX($F$4:$F$263)*$H166,"")</f>
        <v>3.3925755153643114E-2</v>
      </c>
      <c r="AP166" s="19">
        <f t="shared" si="79"/>
        <v>0.79069237047218976</v>
      </c>
      <c r="AQ166" s="19">
        <f t="shared" si="69"/>
        <v>0</v>
      </c>
      <c r="AR166" s="19">
        <f t="shared" si="80"/>
        <v>12.886073846859972</v>
      </c>
      <c r="AS166" s="23">
        <f t="shared" si="70"/>
        <v>1144.74007384686</v>
      </c>
    </row>
    <row r="167" spans="5:45">
      <c r="E167" s="35" t="str">
        <f t="shared" si="56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1"/>
        <v>2</v>
      </c>
      <c r="I167" s="19">
        <v>2.2000000000000002</v>
      </c>
      <c r="J167" s="36">
        <f>'Flow Rate Calculations'!$B$7</f>
        <v>4.0831050228310497</v>
      </c>
      <c r="K167" s="36">
        <f t="shared" si="71"/>
        <v>1.0741261942924094</v>
      </c>
      <c r="L167" s="37">
        <f>$I167*$K167/'Calculation Constants'!$B$7</f>
        <v>2091219.139330355</v>
      </c>
      <c r="M167" s="37" t="str">
        <f t="shared" si="57"/>
        <v>Greater Dynamic Pressures</v>
      </c>
      <c r="N167" s="23">
        <f t="shared" si="72"/>
        <v>25.815306653730886</v>
      </c>
      <c r="O167" s="57">
        <f t="shared" si="58"/>
        <v>23.082335010172073</v>
      </c>
      <c r="P167" s="66">
        <f>MAX(I167*1000/'Calculation Constants'!$B$14,O167*10*I167*1000/2/('Calculation Constants'!$B$12*1000*'Calculation Constants'!$B$13))</f>
        <v>13.75</v>
      </c>
      <c r="Q167" s="68">
        <f t="shared" si="59"/>
        <v>1482695.7604373412</v>
      </c>
      <c r="R167" s="27">
        <f>(1/(2*LOG(3.7*$I167/'Calculation Constants'!$B$2*1000)))^2</f>
        <v>8.4679866037394684E-3</v>
      </c>
      <c r="S167" s="19">
        <f t="shared" si="73"/>
        <v>0.45268811177167712</v>
      </c>
      <c r="T167" s="19">
        <f>IF($H167&gt;0,'Calculation Constants'!$B$9*Hydraulics!$K167^2/2/9.81/MAX($F$4:$F$263)*$H167,"")</f>
        <v>3.3925755153643114E-2</v>
      </c>
      <c r="U167" s="19">
        <f t="shared" si="74"/>
        <v>0.48661386692532022</v>
      </c>
      <c r="V167" s="19">
        <f t="shared" si="60"/>
        <v>0</v>
      </c>
      <c r="W167" s="19">
        <f t="shared" si="61"/>
        <v>25.815306653730886</v>
      </c>
      <c r="X167" s="23">
        <f t="shared" si="62"/>
        <v>1159.1533066537309</v>
      </c>
      <c r="Y167" s="22">
        <f>(1/(2*LOG(3.7*$I167/'Calculation Constants'!$B$3*1000)))^2</f>
        <v>9.4904462912918219E-3</v>
      </c>
      <c r="Z167" s="19">
        <f t="shared" si="63"/>
        <v>0.50734754464280807</v>
      </c>
      <c r="AA167" s="19">
        <f>IF($H167&gt;0,'Calculation Constants'!$B$9*Hydraulics!$K167^2/2/9.81/MAX($F$4:$F$263)*$H167,"")</f>
        <v>3.3925755153643114E-2</v>
      </c>
      <c r="AB167" s="19">
        <f t="shared" si="82"/>
        <v>0.54127329979645122</v>
      </c>
      <c r="AC167" s="19">
        <f t="shared" si="64"/>
        <v>0</v>
      </c>
      <c r="AD167" s="19">
        <f t="shared" si="75"/>
        <v>23.082335010172073</v>
      </c>
      <c r="AE167" s="23">
        <f t="shared" si="65"/>
        <v>1156.420335010172</v>
      </c>
      <c r="AF167" s="27">
        <f>(1/(2*LOG(3.7*$I167/'Calculation Constants'!$B$4*1000)))^2</f>
        <v>1.1152845500629007E-2</v>
      </c>
      <c r="AG167" s="19">
        <f t="shared" si="66"/>
        <v>0.59621735446906032</v>
      </c>
      <c r="AH167" s="19">
        <f>IF($H167&gt;0,'Calculation Constants'!$B$9*Hydraulics!$K167^2/2/9.81/MAX($F$4:$F$263)*$H167,"")</f>
        <v>3.3925755153643114E-2</v>
      </c>
      <c r="AI167" s="19">
        <f t="shared" si="76"/>
        <v>0.63014310962270348</v>
      </c>
      <c r="AJ167" s="19">
        <f t="shared" si="67"/>
        <v>0</v>
      </c>
      <c r="AK167" s="19">
        <f t="shared" si="77"/>
        <v>18.638844518868837</v>
      </c>
      <c r="AL167" s="23">
        <f t="shared" si="68"/>
        <v>1151.9768445188688</v>
      </c>
      <c r="AM167" s="22">
        <f>(1/(2*LOG(3.7*($I167-0.008)/'Calculation Constants'!$B$5*1000)))^2</f>
        <v>1.4104604303736145E-2</v>
      </c>
      <c r="AN167" s="19">
        <f t="shared" si="78"/>
        <v>0.75676661531854661</v>
      </c>
      <c r="AO167" s="19">
        <f>IF($H167&gt;0,'Calculation Constants'!$B$9*Hydraulics!$K167^2/2/9.81/MAX($F$4:$F$263)*$H167,"")</f>
        <v>3.3925755153643114E-2</v>
      </c>
      <c r="AP167" s="19">
        <f t="shared" si="79"/>
        <v>0.79069237047218976</v>
      </c>
      <c r="AQ167" s="19">
        <f t="shared" si="69"/>
        <v>0</v>
      </c>
      <c r="AR167" s="19">
        <f t="shared" si="80"/>
        <v>10.611381476387805</v>
      </c>
      <c r="AS167" s="23">
        <f t="shared" si="70"/>
        <v>1143.9493814763878</v>
      </c>
    </row>
    <row r="168" spans="5:45">
      <c r="E168" s="35" t="str">
        <f t="shared" si="56"/>
        <v/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1"/>
        <v>2</v>
      </c>
      <c r="I168" s="19">
        <v>2.2000000000000002</v>
      </c>
      <c r="J168" s="36">
        <f>'Flow Rate Calculations'!$B$7</f>
        <v>4.0831050228310497</v>
      </c>
      <c r="K168" s="36">
        <f t="shared" si="71"/>
        <v>1.0741261942924094</v>
      </c>
      <c r="L168" s="37">
        <f>$I168*$K168/'Calculation Constants'!$B$7</f>
        <v>2091219.139330355</v>
      </c>
      <c r="M168" s="37" t="str">
        <f t="shared" si="57"/>
        <v>Greater Dynamic Pressures</v>
      </c>
      <c r="N168" s="23">
        <f t="shared" si="72"/>
        <v>22.261692786805497</v>
      </c>
      <c r="O168" s="57">
        <f t="shared" si="58"/>
        <v>19.474061710375508</v>
      </c>
      <c r="P168" s="66">
        <f>MAX(I168*1000/'Calculation Constants'!$B$14,O168*10*I168*1000/2/('Calculation Constants'!$B$12*1000*'Calculation Constants'!$B$13))</f>
        <v>13.75</v>
      </c>
      <c r="Q168" s="68">
        <f t="shared" si="59"/>
        <v>1482695.7604373412</v>
      </c>
      <c r="R168" s="27">
        <f>(1/(2*LOG(3.7*$I168/'Calculation Constants'!$B$2*1000)))^2</f>
        <v>8.4679866037394684E-3</v>
      </c>
      <c r="S168" s="19">
        <f t="shared" si="73"/>
        <v>0.45268811177167712</v>
      </c>
      <c r="T168" s="19">
        <f>IF($H168&gt;0,'Calculation Constants'!$B$9*Hydraulics!$K168^2/2/9.81/MAX($F$4:$F$263)*$H168,"")</f>
        <v>3.3925755153643114E-2</v>
      </c>
      <c r="U168" s="19">
        <f t="shared" si="74"/>
        <v>0.48661386692532022</v>
      </c>
      <c r="V168" s="19">
        <f t="shared" si="60"/>
        <v>0</v>
      </c>
      <c r="W168" s="19">
        <f t="shared" si="61"/>
        <v>22.261692786805497</v>
      </c>
      <c r="X168" s="23">
        <f t="shared" si="62"/>
        <v>1158.6666927868055</v>
      </c>
      <c r="Y168" s="22">
        <f>(1/(2*LOG(3.7*$I168/'Calculation Constants'!$B$3*1000)))^2</f>
        <v>9.4904462912918219E-3</v>
      </c>
      <c r="Z168" s="19">
        <f t="shared" si="63"/>
        <v>0.50734754464280807</v>
      </c>
      <c r="AA168" s="19">
        <f>IF($H168&gt;0,'Calculation Constants'!$B$9*Hydraulics!$K168^2/2/9.81/MAX($F$4:$F$263)*$H168,"")</f>
        <v>3.3925755153643114E-2</v>
      </c>
      <c r="AB168" s="19">
        <f t="shared" si="82"/>
        <v>0.54127329979645122</v>
      </c>
      <c r="AC168" s="19">
        <f t="shared" si="64"/>
        <v>0</v>
      </c>
      <c r="AD168" s="19">
        <f t="shared" si="75"/>
        <v>19.474061710375508</v>
      </c>
      <c r="AE168" s="23">
        <f t="shared" si="65"/>
        <v>1155.8790617103755</v>
      </c>
      <c r="AF168" s="27">
        <f>(1/(2*LOG(3.7*$I168/'Calculation Constants'!$B$4*1000)))^2</f>
        <v>1.1152845500629007E-2</v>
      </c>
      <c r="AG168" s="19">
        <f t="shared" si="66"/>
        <v>0.59621735446906032</v>
      </c>
      <c r="AH168" s="19">
        <f>IF($H168&gt;0,'Calculation Constants'!$B$9*Hydraulics!$K168^2/2/9.81/MAX($F$4:$F$263)*$H168,"")</f>
        <v>3.3925755153643114E-2</v>
      </c>
      <c r="AI168" s="19">
        <f t="shared" si="76"/>
        <v>0.63014310962270348</v>
      </c>
      <c r="AJ168" s="19">
        <f t="shared" si="67"/>
        <v>0</v>
      </c>
      <c r="AK168" s="19">
        <f t="shared" si="77"/>
        <v>14.941701409246207</v>
      </c>
      <c r="AL168" s="23">
        <f t="shared" si="68"/>
        <v>1151.3467014092462</v>
      </c>
      <c r="AM168" s="22">
        <f>(1/(2*LOG(3.7*($I168-0.008)/'Calculation Constants'!$B$5*1000)))^2</f>
        <v>1.4104604303736145E-2</v>
      </c>
      <c r="AN168" s="19">
        <f t="shared" si="78"/>
        <v>0.75676661531854661</v>
      </c>
      <c r="AO168" s="19">
        <f>IF($H168&gt;0,'Calculation Constants'!$B$9*Hydraulics!$K168^2/2/9.81/MAX($F$4:$F$263)*$H168,"")</f>
        <v>3.3925755153643114E-2</v>
      </c>
      <c r="AP168" s="19">
        <f t="shared" si="79"/>
        <v>0.79069237047218976</v>
      </c>
      <c r="AQ168" s="19">
        <f t="shared" si="69"/>
        <v>0</v>
      </c>
      <c r="AR168" s="19">
        <f t="shared" si="80"/>
        <v>6.753689105915555</v>
      </c>
      <c r="AS168" s="23">
        <f t="shared" si="70"/>
        <v>1143.1586891059155</v>
      </c>
    </row>
    <row r="169" spans="5:45">
      <c r="E169" s="35" t="str">
        <f t="shared" si="56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1"/>
        <v>2</v>
      </c>
      <c r="I169" s="19">
        <v>2.2000000000000002</v>
      </c>
      <c r="J169" s="36">
        <f>'Flow Rate Calculations'!$B$7</f>
        <v>4.0831050228310497</v>
      </c>
      <c r="K169" s="36">
        <f t="shared" si="71"/>
        <v>1.0741261942924094</v>
      </c>
      <c r="L169" s="37">
        <f>$I169*$K169/'Calculation Constants'!$B$7</f>
        <v>2091219.139330355</v>
      </c>
      <c r="M169" s="37" t="str">
        <f t="shared" si="57"/>
        <v>Greater Dynamic Pressures</v>
      </c>
      <c r="N169" s="23">
        <f t="shared" si="72"/>
        <v>29.471078919880028</v>
      </c>
      <c r="O169" s="57">
        <f t="shared" si="58"/>
        <v>26.628788410578863</v>
      </c>
      <c r="P169" s="66">
        <f>MAX(I169*1000/'Calculation Constants'!$B$14,O169*10*I169*1000/2/('Calculation Constants'!$B$12*1000*'Calculation Constants'!$B$13))</f>
        <v>13.75</v>
      </c>
      <c r="Q169" s="68">
        <f t="shared" si="59"/>
        <v>1482695.7604373412</v>
      </c>
      <c r="R169" s="27">
        <f>(1/(2*LOG(3.7*$I169/'Calculation Constants'!$B$2*1000)))^2</f>
        <v>8.4679866037394684E-3</v>
      </c>
      <c r="S169" s="19">
        <f t="shared" si="73"/>
        <v>0.45268811177167712</v>
      </c>
      <c r="T169" s="19">
        <f>IF($H169&gt;0,'Calculation Constants'!$B$9*Hydraulics!$K169^2/2/9.81/MAX($F$4:$F$263)*$H169,"")</f>
        <v>3.3925755153643114E-2</v>
      </c>
      <c r="U169" s="19">
        <f t="shared" si="74"/>
        <v>0.48661386692532022</v>
      </c>
      <c r="V169" s="19">
        <f t="shared" si="60"/>
        <v>0</v>
      </c>
      <c r="W169" s="19">
        <f t="shared" si="61"/>
        <v>29.471078919880028</v>
      </c>
      <c r="X169" s="23">
        <f t="shared" si="62"/>
        <v>1158.1800789198801</v>
      </c>
      <c r="Y169" s="22">
        <f>(1/(2*LOG(3.7*$I169/'Calculation Constants'!$B$3*1000)))^2</f>
        <v>9.4904462912918219E-3</v>
      </c>
      <c r="Z169" s="19">
        <f t="shared" si="63"/>
        <v>0.50734754464280807</v>
      </c>
      <c r="AA169" s="19">
        <f>IF($H169&gt;0,'Calculation Constants'!$B$9*Hydraulics!$K169^2/2/9.81/MAX($F$4:$F$263)*$H169,"")</f>
        <v>3.3925755153643114E-2</v>
      </c>
      <c r="AB169" s="19">
        <f t="shared" si="82"/>
        <v>0.54127329979645122</v>
      </c>
      <c r="AC169" s="19">
        <f t="shared" si="64"/>
        <v>0</v>
      </c>
      <c r="AD169" s="19">
        <f t="shared" si="75"/>
        <v>26.628788410578863</v>
      </c>
      <c r="AE169" s="23">
        <f t="shared" si="65"/>
        <v>1155.3377884105789</v>
      </c>
      <c r="AF169" s="27">
        <f>(1/(2*LOG(3.7*$I169/'Calculation Constants'!$B$4*1000)))^2</f>
        <v>1.1152845500629007E-2</v>
      </c>
      <c r="AG169" s="19">
        <f t="shared" si="66"/>
        <v>0.59621735446906032</v>
      </c>
      <c r="AH169" s="19">
        <f>IF($H169&gt;0,'Calculation Constants'!$B$9*Hydraulics!$K169^2/2/9.81/MAX($F$4:$F$263)*$H169,"")</f>
        <v>3.3925755153643114E-2</v>
      </c>
      <c r="AI169" s="19">
        <f t="shared" si="76"/>
        <v>0.63014310962270348</v>
      </c>
      <c r="AJ169" s="19">
        <f t="shared" si="67"/>
        <v>0</v>
      </c>
      <c r="AK169" s="19">
        <f t="shared" si="77"/>
        <v>22.007558299623497</v>
      </c>
      <c r="AL169" s="23">
        <f t="shared" si="68"/>
        <v>1150.7165582996236</v>
      </c>
      <c r="AM169" s="22">
        <f>(1/(2*LOG(3.7*($I169-0.008)/'Calculation Constants'!$B$5*1000)))^2</f>
        <v>1.4104604303736145E-2</v>
      </c>
      <c r="AN169" s="19">
        <f t="shared" si="78"/>
        <v>0.75676661531854661</v>
      </c>
      <c r="AO169" s="19">
        <f>IF($H169&gt;0,'Calculation Constants'!$B$9*Hydraulics!$K169^2/2/9.81/MAX($F$4:$F$263)*$H169,"")</f>
        <v>3.3925755153643114E-2</v>
      </c>
      <c r="AP169" s="19">
        <f t="shared" si="79"/>
        <v>0.79069237047218976</v>
      </c>
      <c r="AQ169" s="19">
        <f t="shared" si="69"/>
        <v>0</v>
      </c>
      <c r="AR169" s="19">
        <f t="shared" si="80"/>
        <v>13.658996735443225</v>
      </c>
      <c r="AS169" s="23">
        <f t="shared" si="70"/>
        <v>1142.3679967354433</v>
      </c>
    </row>
    <row r="170" spans="5:45">
      <c r="E170" s="35" t="str">
        <f t="shared" si="56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1"/>
        <v>2</v>
      </c>
      <c r="I170" s="19">
        <v>2.2000000000000002</v>
      </c>
      <c r="J170" s="36">
        <f>'Flow Rate Calculations'!$B$7</f>
        <v>4.0831050228310497</v>
      </c>
      <c r="K170" s="36">
        <f t="shared" si="71"/>
        <v>1.0741261942924094</v>
      </c>
      <c r="L170" s="37">
        <f>$I170*$K170/'Calculation Constants'!$B$7</f>
        <v>2091219.139330355</v>
      </c>
      <c r="M170" s="37" t="str">
        <f t="shared" si="57"/>
        <v>Greater Dynamic Pressures</v>
      </c>
      <c r="N170" s="23">
        <f t="shared" si="72"/>
        <v>36.980465052954742</v>
      </c>
      <c r="O170" s="57">
        <f t="shared" si="58"/>
        <v>34.0835151107824</v>
      </c>
      <c r="P170" s="66">
        <f>MAX(I170*1000/'Calculation Constants'!$B$14,O170*10*I170*1000/2/('Calculation Constants'!$B$12*1000*'Calculation Constants'!$B$13))</f>
        <v>13.75</v>
      </c>
      <c r="Q170" s="68">
        <f t="shared" si="59"/>
        <v>1482695.7604373412</v>
      </c>
      <c r="R170" s="27">
        <f>(1/(2*LOG(3.7*$I170/'Calculation Constants'!$B$2*1000)))^2</f>
        <v>8.4679866037394684E-3</v>
      </c>
      <c r="S170" s="19">
        <f t="shared" si="73"/>
        <v>0.45268811177167712</v>
      </c>
      <c r="T170" s="19">
        <f>IF($H170&gt;0,'Calculation Constants'!$B$9*Hydraulics!$K170^2/2/9.81/MAX($F$4:$F$263)*$H170,"")</f>
        <v>3.3925755153643114E-2</v>
      </c>
      <c r="U170" s="19">
        <f t="shared" si="74"/>
        <v>0.48661386692532022</v>
      </c>
      <c r="V170" s="19">
        <f t="shared" si="60"/>
        <v>0</v>
      </c>
      <c r="W170" s="19">
        <f t="shared" si="61"/>
        <v>36.980465052954742</v>
      </c>
      <c r="X170" s="23">
        <f t="shared" si="62"/>
        <v>1157.6934650529547</v>
      </c>
      <c r="Y170" s="22">
        <f>(1/(2*LOG(3.7*$I170/'Calculation Constants'!$B$3*1000)))^2</f>
        <v>9.4904462912918219E-3</v>
      </c>
      <c r="Z170" s="19">
        <f t="shared" si="63"/>
        <v>0.50734754464280807</v>
      </c>
      <c r="AA170" s="19">
        <f>IF($H170&gt;0,'Calculation Constants'!$B$9*Hydraulics!$K170^2/2/9.81/MAX($F$4:$F$263)*$H170,"")</f>
        <v>3.3925755153643114E-2</v>
      </c>
      <c r="AB170" s="19">
        <f t="shared" si="82"/>
        <v>0.54127329979645122</v>
      </c>
      <c r="AC170" s="19">
        <f t="shared" si="64"/>
        <v>0</v>
      </c>
      <c r="AD170" s="19">
        <f t="shared" si="75"/>
        <v>34.0835151107824</v>
      </c>
      <c r="AE170" s="23">
        <f t="shared" si="65"/>
        <v>1154.7965151107824</v>
      </c>
      <c r="AF170" s="27">
        <f>(1/(2*LOG(3.7*$I170/'Calculation Constants'!$B$4*1000)))^2</f>
        <v>1.1152845500629007E-2</v>
      </c>
      <c r="AG170" s="19">
        <f t="shared" si="66"/>
        <v>0.59621735446906032</v>
      </c>
      <c r="AH170" s="19">
        <f>IF($H170&gt;0,'Calculation Constants'!$B$9*Hydraulics!$K170^2/2/9.81/MAX($F$4:$F$263)*$H170,"")</f>
        <v>3.3925755153643114E-2</v>
      </c>
      <c r="AI170" s="19">
        <f t="shared" si="76"/>
        <v>0.63014310962270348</v>
      </c>
      <c r="AJ170" s="19">
        <f t="shared" si="67"/>
        <v>0</v>
      </c>
      <c r="AK170" s="19">
        <f t="shared" si="77"/>
        <v>29.373415190000969</v>
      </c>
      <c r="AL170" s="23">
        <f t="shared" si="68"/>
        <v>1150.0864151900009</v>
      </c>
      <c r="AM170" s="22">
        <f>(1/(2*LOG(3.7*($I170-0.008)/'Calculation Constants'!$B$5*1000)))^2</f>
        <v>1.4104604303736145E-2</v>
      </c>
      <c r="AN170" s="19">
        <f t="shared" si="78"/>
        <v>0.75676661531854661</v>
      </c>
      <c r="AO170" s="19">
        <f>IF($H170&gt;0,'Calculation Constants'!$B$9*Hydraulics!$K170^2/2/9.81/MAX($F$4:$F$263)*$H170,"")</f>
        <v>3.3925755153643114E-2</v>
      </c>
      <c r="AP170" s="19">
        <f t="shared" si="79"/>
        <v>0.79069237047218976</v>
      </c>
      <c r="AQ170" s="19">
        <f t="shared" si="69"/>
        <v>0</v>
      </c>
      <c r="AR170" s="19">
        <f t="shared" si="80"/>
        <v>20.864304364971076</v>
      </c>
      <c r="AS170" s="23">
        <f t="shared" si="70"/>
        <v>1141.577304364971</v>
      </c>
    </row>
    <row r="171" spans="5:45">
      <c r="E171" s="35" t="str">
        <f t="shared" si="56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1"/>
        <v>2</v>
      </c>
      <c r="I171" s="19">
        <v>1.8</v>
      </c>
      <c r="J171" s="36">
        <f>'Flow Rate Calculations'!$B$7</f>
        <v>4.0831050228310497</v>
      </c>
      <c r="K171" s="36">
        <f t="shared" si="71"/>
        <v>1.6045588828318709</v>
      </c>
      <c r="L171" s="37">
        <f>$I171*$K171/'Calculation Constants'!$B$7</f>
        <v>2555934.503625989</v>
      </c>
      <c r="M171" s="37" t="str">
        <f t="shared" si="57"/>
        <v>Greater Dynamic Pressures</v>
      </c>
      <c r="N171" s="23">
        <f t="shared" si="72"/>
        <v>41.116511338893815</v>
      </c>
      <c r="O171" s="57">
        <f t="shared" si="58"/>
        <v>38.06284588687231</v>
      </c>
      <c r="P171" s="66">
        <f>MAX(I171*1000/'Calculation Constants'!$B$14,O171*10*I171*1000/2/('Calculation Constants'!$B$12*1000*'Calculation Constants'!$B$13))</f>
        <v>11.25</v>
      </c>
      <c r="Q171" s="68">
        <f t="shared" si="59"/>
        <v>992548.40161508287</v>
      </c>
      <c r="R171" s="27">
        <f>(1/(2*LOG(3.7*$I171/'Calculation Constants'!$B$2*1000)))^2</f>
        <v>8.7463077071963571E-3</v>
      </c>
      <c r="S171" s="19">
        <f t="shared" si="73"/>
        <v>1.2752477269849725</v>
      </c>
      <c r="T171" s="19">
        <f>IF($H171&gt;0,'Calculation Constants'!$B$9*Hydraulics!$K171^2/2/9.81/MAX($F$4:$F$263)*$H171,"")</f>
        <v>7.5705987075825154E-2</v>
      </c>
      <c r="U171" s="19">
        <f t="shared" si="74"/>
        <v>1.3509537140607977</v>
      </c>
      <c r="V171" s="19">
        <f t="shared" si="60"/>
        <v>0</v>
      </c>
      <c r="W171" s="19">
        <f t="shared" si="61"/>
        <v>41.116511338893815</v>
      </c>
      <c r="X171" s="23">
        <f t="shared" si="62"/>
        <v>1156.3425113388939</v>
      </c>
      <c r="Y171" s="22">
        <f>(1/(2*LOG(3.7*$I171/'Calculation Constants'!$B$3*1000)))^2</f>
        <v>9.8211436332891755E-3</v>
      </c>
      <c r="Z171" s="19">
        <f t="shared" si="63"/>
        <v>1.431963236834217</v>
      </c>
      <c r="AA171" s="19">
        <f>IF($H171&gt;0,'Calculation Constants'!$B$9*Hydraulics!$K171^2/2/9.81/MAX($F$4:$F$263)*$H171,"")</f>
        <v>7.5705987075825154E-2</v>
      </c>
      <c r="AB171" s="19">
        <f t="shared" si="82"/>
        <v>1.5076692239100422</v>
      </c>
      <c r="AC171" s="19">
        <f t="shared" si="64"/>
        <v>0</v>
      </c>
      <c r="AD171" s="19">
        <f t="shared" si="75"/>
        <v>38.06284588687231</v>
      </c>
      <c r="AE171" s="23">
        <f t="shared" si="65"/>
        <v>1153.2888458868724</v>
      </c>
      <c r="AF171" s="27">
        <f>(1/(2*LOG(3.7*$I171/'Calculation Constants'!$B$4*1000)))^2</f>
        <v>1.1575055557914658E-2</v>
      </c>
      <c r="AG171" s="19">
        <f t="shared" si="66"/>
        <v>1.6876908272744866</v>
      </c>
      <c r="AH171" s="19">
        <f>IF($H171&gt;0,'Calculation Constants'!$B$9*Hydraulics!$K171^2/2/9.81/MAX($F$4:$F$263)*$H171,"")</f>
        <v>7.5705987075825154E-2</v>
      </c>
      <c r="AI171" s="19">
        <f t="shared" si="76"/>
        <v>1.7633968143503118</v>
      </c>
      <c r="AJ171" s="19">
        <f t="shared" si="67"/>
        <v>0</v>
      </c>
      <c r="AK171" s="19">
        <f t="shared" si="77"/>
        <v>33.097018375650578</v>
      </c>
      <c r="AL171" s="23">
        <f t="shared" si="68"/>
        <v>1148.3230183756507</v>
      </c>
      <c r="AM171" s="22">
        <f>(1/(2*LOG(3.7*($I171-0.008)/'Calculation Constants'!$B$5*1000)))^2</f>
        <v>1.4709705891825043E-2</v>
      </c>
      <c r="AN171" s="19">
        <f t="shared" si="78"/>
        <v>2.1543104841910781</v>
      </c>
      <c r="AO171" s="19">
        <f>IF($H171&gt;0,'Calculation Constants'!$B$9*Hydraulics!$K171^2/2/9.81/MAX($F$4:$F$263)*$H171,"")</f>
        <v>7.5705987075825154E-2</v>
      </c>
      <c r="AP171" s="19">
        <f t="shared" si="79"/>
        <v>2.2300164712669033</v>
      </c>
      <c r="AQ171" s="19">
        <f t="shared" si="69"/>
        <v>0</v>
      </c>
      <c r="AR171" s="19">
        <f t="shared" si="80"/>
        <v>24.121287893703993</v>
      </c>
      <c r="AS171" s="23">
        <f t="shared" si="70"/>
        <v>1139.3472878937041</v>
      </c>
    </row>
    <row r="172" spans="5:45">
      <c r="E172" s="35" t="str">
        <f t="shared" si="56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1"/>
        <v>2</v>
      </c>
      <c r="I172" s="19">
        <v>1.8</v>
      </c>
      <c r="J172" s="36">
        <f>'Flow Rate Calculations'!$B$7</f>
        <v>4.0831050228310497</v>
      </c>
      <c r="K172" s="36">
        <f t="shared" si="71"/>
        <v>1.6045588828318709</v>
      </c>
      <c r="L172" s="37">
        <f>$I172*$K172/'Calculation Constants'!$B$7</f>
        <v>2555934.503625989</v>
      </c>
      <c r="M172" s="37" t="str">
        <f t="shared" si="57"/>
        <v>Greater Dynamic Pressures</v>
      </c>
      <c r="N172" s="23">
        <f t="shared" si="72"/>
        <v>46.282557624833089</v>
      </c>
      <c r="O172" s="57">
        <f t="shared" si="58"/>
        <v>43.07217666296242</v>
      </c>
      <c r="P172" s="66">
        <f>MAX(I172*1000/'Calculation Constants'!$B$14,O172*10*I172*1000/2/('Calculation Constants'!$B$12*1000*'Calculation Constants'!$B$13))</f>
        <v>11.25</v>
      </c>
      <c r="Q172" s="68">
        <f t="shared" si="59"/>
        <v>992548.40161508287</v>
      </c>
      <c r="R172" s="27">
        <f>(1/(2*LOG(3.7*$I172/'Calculation Constants'!$B$2*1000)))^2</f>
        <v>8.7463077071963571E-3</v>
      </c>
      <c r="S172" s="19">
        <f t="shared" si="73"/>
        <v>1.2752477269849725</v>
      </c>
      <c r="T172" s="19">
        <f>IF($H172&gt;0,'Calculation Constants'!$B$9*Hydraulics!$K172^2/2/9.81/MAX($F$4:$F$263)*$H172,"")</f>
        <v>7.5705987075825154E-2</v>
      </c>
      <c r="U172" s="19">
        <f t="shared" si="74"/>
        <v>1.3509537140607977</v>
      </c>
      <c r="V172" s="19">
        <f t="shared" si="60"/>
        <v>0</v>
      </c>
      <c r="W172" s="19">
        <f t="shared" si="61"/>
        <v>46.282557624833089</v>
      </c>
      <c r="X172" s="23">
        <f t="shared" si="62"/>
        <v>1154.9915576248331</v>
      </c>
      <c r="Y172" s="22">
        <f>(1/(2*LOG(3.7*$I172/'Calculation Constants'!$B$3*1000)))^2</f>
        <v>9.8211436332891755E-3</v>
      </c>
      <c r="Z172" s="19">
        <f t="shared" si="63"/>
        <v>1.431963236834217</v>
      </c>
      <c r="AA172" s="19">
        <f>IF($H172&gt;0,'Calculation Constants'!$B$9*Hydraulics!$K172^2/2/9.81/MAX($F$4:$F$263)*$H172,"")</f>
        <v>7.5705987075825154E-2</v>
      </c>
      <c r="AB172" s="19">
        <f t="shared" si="82"/>
        <v>1.5076692239100422</v>
      </c>
      <c r="AC172" s="19">
        <f t="shared" si="64"/>
        <v>0</v>
      </c>
      <c r="AD172" s="19">
        <f t="shared" si="75"/>
        <v>43.07217666296242</v>
      </c>
      <c r="AE172" s="23">
        <f t="shared" si="65"/>
        <v>1151.7811766629625</v>
      </c>
      <c r="AF172" s="27">
        <f>(1/(2*LOG(3.7*$I172/'Calculation Constants'!$B$4*1000)))^2</f>
        <v>1.1575055557914658E-2</v>
      </c>
      <c r="AG172" s="19">
        <f t="shared" si="66"/>
        <v>1.6876908272744866</v>
      </c>
      <c r="AH172" s="19">
        <f>IF($H172&gt;0,'Calculation Constants'!$B$9*Hydraulics!$K172^2/2/9.81/MAX($F$4:$F$263)*$H172,"")</f>
        <v>7.5705987075825154E-2</v>
      </c>
      <c r="AI172" s="19">
        <f t="shared" si="76"/>
        <v>1.7633968143503118</v>
      </c>
      <c r="AJ172" s="19">
        <f t="shared" si="67"/>
        <v>0</v>
      </c>
      <c r="AK172" s="19">
        <f t="shared" si="77"/>
        <v>37.850621561300386</v>
      </c>
      <c r="AL172" s="23">
        <f t="shared" si="68"/>
        <v>1146.5596215613004</v>
      </c>
      <c r="AM172" s="22">
        <f>(1/(2*LOG(3.7*($I172-0.008)/'Calculation Constants'!$B$5*1000)))^2</f>
        <v>1.4709705891825043E-2</v>
      </c>
      <c r="AN172" s="19">
        <f t="shared" si="78"/>
        <v>2.1543104841910781</v>
      </c>
      <c r="AO172" s="19">
        <f>IF($H172&gt;0,'Calculation Constants'!$B$9*Hydraulics!$K172^2/2/9.81/MAX($F$4:$F$263)*$H172,"")</f>
        <v>7.5705987075825154E-2</v>
      </c>
      <c r="AP172" s="19">
        <f t="shared" si="79"/>
        <v>2.2300164712669033</v>
      </c>
      <c r="AQ172" s="19">
        <f t="shared" si="69"/>
        <v>0</v>
      </c>
      <c r="AR172" s="19">
        <f t="shared" si="80"/>
        <v>28.40827142243711</v>
      </c>
      <c r="AS172" s="23">
        <f t="shared" si="70"/>
        <v>1137.1172714224372</v>
      </c>
    </row>
    <row r="173" spans="5:45">
      <c r="E173" s="35" t="str">
        <f t="shared" si="56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1"/>
        <v>2</v>
      </c>
      <c r="I173" s="19">
        <v>1.8</v>
      </c>
      <c r="J173" s="36">
        <f>'Flow Rate Calculations'!$B$7</f>
        <v>4.0831050228310497</v>
      </c>
      <c r="K173" s="36">
        <f t="shared" si="71"/>
        <v>1.6045588828318709</v>
      </c>
      <c r="L173" s="37">
        <f>$I173*$K173/'Calculation Constants'!$B$7</f>
        <v>2555934.503625989</v>
      </c>
      <c r="M173" s="37" t="str">
        <f t="shared" si="57"/>
        <v>Greater Dynamic Pressures</v>
      </c>
      <c r="N173" s="23">
        <f t="shared" si="72"/>
        <v>51.141603910772346</v>
      </c>
      <c r="O173" s="57">
        <f t="shared" si="58"/>
        <v>47.774507439052513</v>
      </c>
      <c r="P173" s="66">
        <f>MAX(I173*1000/'Calculation Constants'!$B$14,O173*10*I173*1000/2/('Calculation Constants'!$B$12*1000*'Calculation Constants'!$B$13))</f>
        <v>11.25</v>
      </c>
      <c r="Q173" s="68">
        <f t="shared" si="59"/>
        <v>992548.40161508287</v>
      </c>
      <c r="R173" s="27">
        <f>(1/(2*LOG(3.7*$I173/'Calculation Constants'!$B$2*1000)))^2</f>
        <v>8.7463077071963571E-3</v>
      </c>
      <c r="S173" s="19">
        <f t="shared" si="73"/>
        <v>1.2752477269849725</v>
      </c>
      <c r="T173" s="19">
        <f>IF($H173&gt;0,'Calculation Constants'!$B$9*Hydraulics!$K173^2/2/9.81/MAX($F$4:$F$263)*$H173,"")</f>
        <v>7.5705987075825154E-2</v>
      </c>
      <c r="U173" s="19">
        <f t="shared" si="74"/>
        <v>1.3509537140607977</v>
      </c>
      <c r="V173" s="19">
        <f t="shared" si="60"/>
        <v>0</v>
      </c>
      <c r="W173" s="19">
        <f t="shared" si="61"/>
        <v>51.141603910772346</v>
      </c>
      <c r="X173" s="23">
        <f t="shared" si="62"/>
        <v>1153.6406039107724</v>
      </c>
      <c r="Y173" s="22">
        <f>(1/(2*LOG(3.7*$I173/'Calculation Constants'!$B$3*1000)))^2</f>
        <v>9.8211436332891755E-3</v>
      </c>
      <c r="Z173" s="19">
        <f t="shared" si="63"/>
        <v>1.431963236834217</v>
      </c>
      <c r="AA173" s="19">
        <f>IF($H173&gt;0,'Calculation Constants'!$B$9*Hydraulics!$K173^2/2/9.81/MAX($F$4:$F$263)*$H173,"")</f>
        <v>7.5705987075825154E-2</v>
      </c>
      <c r="AB173" s="19">
        <f t="shared" si="82"/>
        <v>1.5076692239100422</v>
      </c>
      <c r="AC173" s="19">
        <f t="shared" si="64"/>
        <v>0</v>
      </c>
      <c r="AD173" s="19">
        <f t="shared" si="75"/>
        <v>47.774507439052513</v>
      </c>
      <c r="AE173" s="23">
        <f t="shared" si="65"/>
        <v>1150.2735074390525</v>
      </c>
      <c r="AF173" s="27">
        <f>(1/(2*LOG(3.7*$I173/'Calculation Constants'!$B$4*1000)))^2</f>
        <v>1.1575055557914658E-2</v>
      </c>
      <c r="AG173" s="19">
        <f t="shared" si="66"/>
        <v>1.6876908272744866</v>
      </c>
      <c r="AH173" s="19">
        <f>IF($H173&gt;0,'Calculation Constants'!$B$9*Hydraulics!$K173^2/2/9.81/MAX($F$4:$F$263)*$H173,"")</f>
        <v>7.5705987075825154E-2</v>
      </c>
      <c r="AI173" s="19">
        <f t="shared" si="76"/>
        <v>1.7633968143503118</v>
      </c>
      <c r="AJ173" s="19">
        <f t="shared" si="67"/>
        <v>0</v>
      </c>
      <c r="AK173" s="19">
        <f t="shared" si="77"/>
        <v>42.297224746950178</v>
      </c>
      <c r="AL173" s="23">
        <f t="shared" si="68"/>
        <v>1144.7962247469502</v>
      </c>
      <c r="AM173" s="22">
        <f>(1/(2*LOG(3.7*($I173-0.008)/'Calculation Constants'!$B$5*1000)))^2</f>
        <v>1.4709705891825043E-2</v>
      </c>
      <c r="AN173" s="19">
        <f t="shared" si="78"/>
        <v>2.1543104841910781</v>
      </c>
      <c r="AO173" s="19">
        <f>IF($H173&gt;0,'Calculation Constants'!$B$9*Hydraulics!$K173^2/2/9.81/MAX($F$4:$F$263)*$H173,"")</f>
        <v>7.5705987075825154E-2</v>
      </c>
      <c r="AP173" s="19">
        <f t="shared" si="79"/>
        <v>2.2300164712669033</v>
      </c>
      <c r="AQ173" s="19">
        <f t="shared" si="69"/>
        <v>0</v>
      </c>
      <c r="AR173" s="19">
        <f t="shared" si="80"/>
        <v>32.388254951170211</v>
      </c>
      <c r="AS173" s="23">
        <f t="shared" si="70"/>
        <v>1134.8872549511702</v>
      </c>
    </row>
    <row r="174" spans="5:45">
      <c r="E174" s="35" t="str">
        <f t="shared" si="56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1"/>
        <v>2</v>
      </c>
      <c r="I174" s="19">
        <v>1.8</v>
      </c>
      <c r="J174" s="36">
        <f>'Flow Rate Calculations'!$B$7</f>
        <v>4.0831050228310497</v>
      </c>
      <c r="K174" s="36">
        <f t="shared" si="71"/>
        <v>1.6045588828318709</v>
      </c>
      <c r="L174" s="37">
        <f>$I174*$K174/'Calculation Constants'!$B$7</f>
        <v>2555934.503625989</v>
      </c>
      <c r="M174" s="37" t="str">
        <f t="shared" si="57"/>
        <v>Greater Dynamic Pressures</v>
      </c>
      <c r="N174" s="23">
        <f t="shared" si="72"/>
        <v>55.940650196711658</v>
      </c>
      <c r="O174" s="57">
        <f t="shared" si="58"/>
        <v>52.416838215142661</v>
      </c>
      <c r="P174" s="66">
        <f>MAX(I174*1000/'Calculation Constants'!$B$14,O174*10*I174*1000/2/('Calculation Constants'!$B$12*1000*'Calculation Constants'!$B$13))</f>
        <v>11.25</v>
      </c>
      <c r="Q174" s="68">
        <f t="shared" si="59"/>
        <v>992548.40161508287</v>
      </c>
      <c r="R174" s="27">
        <f>(1/(2*LOG(3.7*$I174/'Calculation Constants'!$B$2*1000)))^2</f>
        <v>8.7463077071963571E-3</v>
      </c>
      <c r="S174" s="19">
        <f t="shared" si="73"/>
        <v>1.2752477269849725</v>
      </c>
      <c r="T174" s="19">
        <f>IF($H174&gt;0,'Calculation Constants'!$B$9*Hydraulics!$K174^2/2/9.81/MAX($F$4:$F$263)*$H174,"")</f>
        <v>7.5705987075825154E-2</v>
      </c>
      <c r="U174" s="19">
        <f t="shared" si="74"/>
        <v>1.3509537140607977</v>
      </c>
      <c r="V174" s="19">
        <f t="shared" si="60"/>
        <v>0</v>
      </c>
      <c r="W174" s="19">
        <f t="shared" si="61"/>
        <v>55.940650196711658</v>
      </c>
      <c r="X174" s="23">
        <f t="shared" si="62"/>
        <v>1152.2896501967116</v>
      </c>
      <c r="Y174" s="22">
        <f>(1/(2*LOG(3.7*$I174/'Calculation Constants'!$B$3*1000)))^2</f>
        <v>9.8211436332891755E-3</v>
      </c>
      <c r="Z174" s="19">
        <f t="shared" si="63"/>
        <v>1.431963236834217</v>
      </c>
      <c r="AA174" s="19">
        <f>IF($H174&gt;0,'Calculation Constants'!$B$9*Hydraulics!$K174^2/2/9.81/MAX($F$4:$F$263)*$H174,"")</f>
        <v>7.5705987075825154E-2</v>
      </c>
      <c r="AB174" s="19">
        <f t="shared" si="82"/>
        <v>1.5076692239100422</v>
      </c>
      <c r="AC174" s="19">
        <f t="shared" si="64"/>
        <v>0</v>
      </c>
      <c r="AD174" s="19">
        <f t="shared" si="75"/>
        <v>52.416838215142661</v>
      </c>
      <c r="AE174" s="23">
        <f t="shared" si="65"/>
        <v>1148.7658382151426</v>
      </c>
      <c r="AF174" s="27">
        <f>(1/(2*LOG(3.7*$I174/'Calculation Constants'!$B$4*1000)))^2</f>
        <v>1.1575055557914658E-2</v>
      </c>
      <c r="AG174" s="19">
        <f t="shared" si="66"/>
        <v>1.6876908272744866</v>
      </c>
      <c r="AH174" s="19">
        <f>IF($H174&gt;0,'Calculation Constants'!$B$9*Hydraulics!$K174^2/2/9.81/MAX($F$4:$F$263)*$H174,"")</f>
        <v>7.5705987075825154E-2</v>
      </c>
      <c r="AI174" s="19">
        <f t="shared" si="76"/>
        <v>1.7633968143503118</v>
      </c>
      <c r="AJ174" s="19">
        <f t="shared" si="67"/>
        <v>0</v>
      </c>
      <c r="AK174" s="19">
        <f t="shared" si="77"/>
        <v>46.683827932600025</v>
      </c>
      <c r="AL174" s="23">
        <f t="shared" si="68"/>
        <v>1143.0328279326</v>
      </c>
      <c r="AM174" s="22">
        <f>(1/(2*LOG(3.7*($I174-0.008)/'Calculation Constants'!$B$5*1000)))^2</f>
        <v>1.4709705891825043E-2</v>
      </c>
      <c r="AN174" s="19">
        <f t="shared" si="78"/>
        <v>2.1543104841910781</v>
      </c>
      <c r="AO174" s="19">
        <f>IF($H174&gt;0,'Calculation Constants'!$B$9*Hydraulics!$K174^2/2/9.81/MAX($F$4:$F$263)*$H174,"")</f>
        <v>7.5705987075825154E-2</v>
      </c>
      <c r="AP174" s="19">
        <f t="shared" si="79"/>
        <v>2.2300164712669033</v>
      </c>
      <c r="AQ174" s="19">
        <f t="shared" si="69"/>
        <v>0</v>
      </c>
      <c r="AR174" s="19">
        <f t="shared" si="80"/>
        <v>36.308238479903366</v>
      </c>
      <c r="AS174" s="23">
        <f t="shared" si="70"/>
        <v>1132.6572384799033</v>
      </c>
    </row>
    <row r="175" spans="5:45">
      <c r="E175" s="35" t="str">
        <f t="shared" si="56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1"/>
        <v>2</v>
      </c>
      <c r="I175" s="19">
        <v>1.8</v>
      </c>
      <c r="J175" s="36">
        <f>'Flow Rate Calculations'!$B$7</f>
        <v>4.0831050228310497</v>
      </c>
      <c r="K175" s="36">
        <f t="shared" si="71"/>
        <v>1.6045588828318709</v>
      </c>
      <c r="L175" s="37">
        <f>$I175*$K175/'Calculation Constants'!$B$7</f>
        <v>2555934.503625989</v>
      </c>
      <c r="M175" s="37" t="str">
        <f t="shared" si="57"/>
        <v>Greater Dynamic Pressures</v>
      </c>
      <c r="N175" s="23">
        <f t="shared" si="72"/>
        <v>60.548696482650712</v>
      </c>
      <c r="O175" s="57">
        <f t="shared" si="58"/>
        <v>56.868168991232551</v>
      </c>
      <c r="P175" s="66">
        <f>MAX(I175*1000/'Calculation Constants'!$B$14,O175*10*I175*1000/2/('Calculation Constants'!$B$12*1000*'Calculation Constants'!$B$13))</f>
        <v>11.25</v>
      </c>
      <c r="Q175" s="68">
        <f t="shared" si="59"/>
        <v>992548.40161508287</v>
      </c>
      <c r="R175" s="27">
        <f>(1/(2*LOG(3.7*$I175/'Calculation Constants'!$B$2*1000)))^2</f>
        <v>8.7463077071963571E-3</v>
      </c>
      <c r="S175" s="19">
        <f t="shared" si="73"/>
        <v>1.2752477269849725</v>
      </c>
      <c r="T175" s="19">
        <f>IF($H175&gt;0,'Calculation Constants'!$B$9*Hydraulics!$K175^2/2/9.81/MAX($F$4:$F$263)*$H175,"")</f>
        <v>7.5705987075825154E-2</v>
      </c>
      <c r="U175" s="19">
        <f t="shared" si="74"/>
        <v>1.3509537140607977</v>
      </c>
      <c r="V175" s="19">
        <f t="shared" si="60"/>
        <v>0</v>
      </c>
      <c r="W175" s="19">
        <f t="shared" si="61"/>
        <v>60.548696482650712</v>
      </c>
      <c r="X175" s="23">
        <f t="shared" si="62"/>
        <v>1150.9386964826508</v>
      </c>
      <c r="Y175" s="22">
        <f>(1/(2*LOG(3.7*$I175/'Calculation Constants'!$B$3*1000)))^2</f>
        <v>9.8211436332891755E-3</v>
      </c>
      <c r="Z175" s="19">
        <f t="shared" si="63"/>
        <v>1.431963236834217</v>
      </c>
      <c r="AA175" s="19">
        <f>IF($H175&gt;0,'Calculation Constants'!$B$9*Hydraulics!$K175^2/2/9.81/MAX($F$4:$F$263)*$H175,"")</f>
        <v>7.5705987075825154E-2</v>
      </c>
      <c r="AB175" s="19">
        <f t="shared" si="82"/>
        <v>1.5076692239100422</v>
      </c>
      <c r="AC175" s="19">
        <f t="shared" si="64"/>
        <v>0</v>
      </c>
      <c r="AD175" s="19">
        <f t="shared" si="75"/>
        <v>56.868168991232551</v>
      </c>
      <c r="AE175" s="23">
        <f t="shared" si="65"/>
        <v>1147.2581689912327</v>
      </c>
      <c r="AF175" s="27">
        <f>(1/(2*LOG(3.7*$I175/'Calculation Constants'!$B$4*1000)))^2</f>
        <v>1.1575055557914658E-2</v>
      </c>
      <c r="AG175" s="19">
        <f t="shared" si="66"/>
        <v>1.6876908272744866</v>
      </c>
      <c r="AH175" s="19">
        <f>IF($H175&gt;0,'Calculation Constants'!$B$9*Hydraulics!$K175^2/2/9.81/MAX($F$4:$F$263)*$H175,"")</f>
        <v>7.5705987075825154E-2</v>
      </c>
      <c r="AI175" s="19">
        <f t="shared" si="76"/>
        <v>1.7633968143503118</v>
      </c>
      <c r="AJ175" s="19">
        <f t="shared" si="67"/>
        <v>0</v>
      </c>
      <c r="AK175" s="19">
        <f t="shared" si="77"/>
        <v>50.879431118249613</v>
      </c>
      <c r="AL175" s="23">
        <f t="shared" si="68"/>
        <v>1141.2694311182497</v>
      </c>
      <c r="AM175" s="22">
        <f>(1/(2*LOG(3.7*($I175-0.008)/'Calculation Constants'!$B$5*1000)))^2</f>
        <v>1.4709705891825043E-2</v>
      </c>
      <c r="AN175" s="19">
        <f t="shared" si="78"/>
        <v>2.1543104841910781</v>
      </c>
      <c r="AO175" s="19">
        <f>IF($H175&gt;0,'Calculation Constants'!$B$9*Hydraulics!$K175^2/2/9.81/MAX($F$4:$F$263)*$H175,"")</f>
        <v>7.5705987075825154E-2</v>
      </c>
      <c r="AP175" s="19">
        <f t="shared" si="79"/>
        <v>2.2300164712669033</v>
      </c>
      <c r="AQ175" s="19">
        <f t="shared" si="69"/>
        <v>0</v>
      </c>
      <c r="AR175" s="19">
        <f t="shared" si="80"/>
        <v>40.037222008636263</v>
      </c>
      <c r="AS175" s="23">
        <f t="shared" si="70"/>
        <v>1130.4272220086364</v>
      </c>
    </row>
    <row r="176" spans="5:45">
      <c r="E176" s="35" t="str">
        <f t="shared" si="56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1"/>
        <v>2</v>
      </c>
      <c r="I176" s="19">
        <v>1.8</v>
      </c>
      <c r="J176" s="36">
        <f>'Flow Rate Calculations'!$B$7</f>
        <v>4.0831050228310497</v>
      </c>
      <c r="K176" s="36">
        <f t="shared" si="71"/>
        <v>1.6045588828318709</v>
      </c>
      <c r="L176" s="37">
        <f>$I176*$K176/'Calculation Constants'!$B$7</f>
        <v>2555934.503625989</v>
      </c>
      <c r="M176" s="37" t="str">
        <f t="shared" si="57"/>
        <v>Greater Dynamic Pressures</v>
      </c>
      <c r="N176" s="23">
        <f t="shared" si="72"/>
        <v>61.822742768589933</v>
      </c>
      <c r="O176" s="57">
        <f t="shared" si="58"/>
        <v>57.985499767322608</v>
      </c>
      <c r="P176" s="66">
        <f>MAX(I176*1000/'Calculation Constants'!$B$14,O176*10*I176*1000/2/('Calculation Constants'!$B$12*1000*'Calculation Constants'!$B$13))</f>
        <v>11.25</v>
      </c>
      <c r="Q176" s="68">
        <f t="shared" si="59"/>
        <v>992548.40161508287</v>
      </c>
      <c r="R176" s="27">
        <f>(1/(2*LOG(3.7*$I176/'Calculation Constants'!$B$2*1000)))^2</f>
        <v>8.7463077071963571E-3</v>
      </c>
      <c r="S176" s="19">
        <f t="shared" si="73"/>
        <v>1.2752477269849725</v>
      </c>
      <c r="T176" s="19">
        <f>IF($H176&gt;0,'Calculation Constants'!$B$9*Hydraulics!$K176^2/2/9.81/MAX($F$4:$F$263)*$H176,"")</f>
        <v>7.5705987075825154E-2</v>
      </c>
      <c r="U176" s="19">
        <f t="shared" si="74"/>
        <v>1.3509537140607977</v>
      </c>
      <c r="V176" s="19">
        <f t="shared" si="60"/>
        <v>0</v>
      </c>
      <c r="W176" s="19">
        <f t="shared" si="61"/>
        <v>61.822742768589933</v>
      </c>
      <c r="X176" s="23">
        <f t="shared" si="62"/>
        <v>1149.58774276859</v>
      </c>
      <c r="Y176" s="22">
        <f>(1/(2*LOG(3.7*$I176/'Calculation Constants'!$B$3*1000)))^2</f>
        <v>9.8211436332891755E-3</v>
      </c>
      <c r="Z176" s="19">
        <f t="shared" si="63"/>
        <v>1.431963236834217</v>
      </c>
      <c r="AA176" s="19">
        <f>IF($H176&gt;0,'Calculation Constants'!$B$9*Hydraulics!$K176^2/2/9.81/MAX($F$4:$F$263)*$H176,"")</f>
        <v>7.5705987075825154E-2</v>
      </c>
      <c r="AB176" s="19">
        <f t="shared" si="82"/>
        <v>1.5076692239100422</v>
      </c>
      <c r="AC176" s="19">
        <f t="shared" si="64"/>
        <v>0</v>
      </c>
      <c r="AD176" s="19">
        <f t="shared" si="75"/>
        <v>57.985499767322608</v>
      </c>
      <c r="AE176" s="23">
        <f t="shared" si="65"/>
        <v>1145.7504997673227</v>
      </c>
      <c r="AF176" s="27">
        <f>(1/(2*LOG(3.7*$I176/'Calculation Constants'!$B$4*1000)))^2</f>
        <v>1.1575055557914658E-2</v>
      </c>
      <c r="AG176" s="19">
        <f t="shared" si="66"/>
        <v>1.6876908272744866</v>
      </c>
      <c r="AH176" s="19">
        <f>IF($H176&gt;0,'Calculation Constants'!$B$9*Hydraulics!$K176^2/2/9.81/MAX($F$4:$F$263)*$H176,"")</f>
        <v>7.5705987075825154E-2</v>
      </c>
      <c r="AI176" s="19">
        <f t="shared" si="76"/>
        <v>1.7633968143503118</v>
      </c>
      <c r="AJ176" s="19">
        <f t="shared" si="67"/>
        <v>0</v>
      </c>
      <c r="AK176" s="19">
        <f t="shared" si="77"/>
        <v>51.741034303899369</v>
      </c>
      <c r="AL176" s="23">
        <f t="shared" si="68"/>
        <v>1139.5060343038995</v>
      </c>
      <c r="AM176" s="22">
        <f>(1/(2*LOG(3.7*($I176-0.008)/'Calculation Constants'!$B$5*1000)))^2</f>
        <v>1.4709705891825043E-2</v>
      </c>
      <c r="AN176" s="19">
        <f t="shared" si="78"/>
        <v>2.1543104841910781</v>
      </c>
      <c r="AO176" s="19">
        <f>IF($H176&gt;0,'Calculation Constants'!$B$9*Hydraulics!$K176^2/2/9.81/MAX($F$4:$F$263)*$H176,"")</f>
        <v>7.5705987075825154E-2</v>
      </c>
      <c r="AP176" s="19">
        <f t="shared" si="79"/>
        <v>2.2300164712669033</v>
      </c>
      <c r="AQ176" s="19">
        <f t="shared" si="69"/>
        <v>0</v>
      </c>
      <c r="AR176" s="19">
        <f t="shared" si="80"/>
        <v>40.432205537369327</v>
      </c>
      <c r="AS176" s="23">
        <f t="shared" si="70"/>
        <v>1128.1972055373694</v>
      </c>
    </row>
    <row r="177" spans="5:45">
      <c r="E177" s="35" t="str">
        <f t="shared" si="56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1"/>
        <v>2</v>
      </c>
      <c r="I177" s="19">
        <v>1.8</v>
      </c>
      <c r="J177" s="36">
        <f>'Flow Rate Calculations'!$B$7</f>
        <v>4.0831050228310497</v>
      </c>
      <c r="K177" s="36">
        <f t="shared" si="71"/>
        <v>1.6045588828318709</v>
      </c>
      <c r="L177" s="37">
        <f>$I177*$K177/'Calculation Constants'!$B$7</f>
        <v>2555934.503625989</v>
      </c>
      <c r="M177" s="37" t="str">
        <f t="shared" si="57"/>
        <v>Greater Dynamic Pressures</v>
      </c>
      <c r="N177" s="23">
        <f t="shared" si="72"/>
        <v>63.575789054529196</v>
      </c>
      <c r="O177" s="57">
        <f t="shared" si="58"/>
        <v>59.581830543412707</v>
      </c>
      <c r="P177" s="66">
        <f>MAX(I177*1000/'Calculation Constants'!$B$14,O177*10*I177*1000/2/('Calculation Constants'!$B$12*1000*'Calculation Constants'!$B$13))</f>
        <v>11.25</v>
      </c>
      <c r="Q177" s="68">
        <f t="shared" si="59"/>
        <v>992548.40161508287</v>
      </c>
      <c r="R177" s="27">
        <f>(1/(2*LOG(3.7*$I177/'Calculation Constants'!$B$2*1000)))^2</f>
        <v>8.7463077071963571E-3</v>
      </c>
      <c r="S177" s="19">
        <f t="shared" si="73"/>
        <v>1.2752477269849725</v>
      </c>
      <c r="T177" s="19">
        <f>IF($H177&gt;0,'Calculation Constants'!$B$9*Hydraulics!$K177^2/2/9.81/MAX($F$4:$F$263)*$H177,"")</f>
        <v>7.5705987075825154E-2</v>
      </c>
      <c r="U177" s="19">
        <f t="shared" si="74"/>
        <v>1.3509537140607977</v>
      </c>
      <c r="V177" s="19">
        <f t="shared" si="60"/>
        <v>0</v>
      </c>
      <c r="W177" s="19">
        <f t="shared" si="61"/>
        <v>63.575789054529196</v>
      </c>
      <c r="X177" s="23">
        <f t="shared" si="62"/>
        <v>1148.2367890545293</v>
      </c>
      <c r="Y177" s="22">
        <f>(1/(2*LOG(3.7*$I177/'Calculation Constants'!$B$3*1000)))^2</f>
        <v>9.8211436332891755E-3</v>
      </c>
      <c r="Z177" s="19">
        <f t="shared" si="63"/>
        <v>1.431963236834217</v>
      </c>
      <c r="AA177" s="19">
        <f>IF($H177&gt;0,'Calculation Constants'!$B$9*Hydraulics!$K177^2/2/9.81/MAX($F$4:$F$263)*$H177,"")</f>
        <v>7.5705987075825154E-2</v>
      </c>
      <c r="AB177" s="19">
        <f t="shared" si="82"/>
        <v>1.5076692239100422</v>
      </c>
      <c r="AC177" s="19">
        <f t="shared" si="64"/>
        <v>0</v>
      </c>
      <c r="AD177" s="19">
        <f t="shared" si="75"/>
        <v>59.581830543412707</v>
      </c>
      <c r="AE177" s="23">
        <f t="shared" si="65"/>
        <v>1144.2428305434128</v>
      </c>
      <c r="AF177" s="27">
        <f>(1/(2*LOG(3.7*$I177/'Calculation Constants'!$B$4*1000)))^2</f>
        <v>1.1575055557914658E-2</v>
      </c>
      <c r="AG177" s="19">
        <f t="shared" si="66"/>
        <v>1.6876908272744866</v>
      </c>
      <c r="AH177" s="19">
        <f>IF($H177&gt;0,'Calculation Constants'!$B$9*Hydraulics!$K177^2/2/9.81/MAX($F$4:$F$263)*$H177,"")</f>
        <v>7.5705987075825154E-2</v>
      </c>
      <c r="AI177" s="19">
        <f t="shared" si="76"/>
        <v>1.7633968143503118</v>
      </c>
      <c r="AJ177" s="19">
        <f t="shared" si="67"/>
        <v>0</v>
      </c>
      <c r="AK177" s="19">
        <f t="shared" si="77"/>
        <v>53.081637489549166</v>
      </c>
      <c r="AL177" s="23">
        <f t="shared" si="68"/>
        <v>1137.7426374895492</v>
      </c>
      <c r="AM177" s="22">
        <f>(1/(2*LOG(3.7*($I177-0.008)/'Calculation Constants'!$B$5*1000)))^2</f>
        <v>1.4709705891825043E-2</v>
      </c>
      <c r="AN177" s="19">
        <f t="shared" si="78"/>
        <v>2.1543104841910781</v>
      </c>
      <c r="AO177" s="19">
        <f>IF($H177&gt;0,'Calculation Constants'!$B$9*Hydraulics!$K177^2/2/9.81/MAX($F$4:$F$263)*$H177,"")</f>
        <v>7.5705987075825154E-2</v>
      </c>
      <c r="AP177" s="19">
        <f t="shared" si="79"/>
        <v>2.2300164712669033</v>
      </c>
      <c r="AQ177" s="19">
        <f t="shared" si="69"/>
        <v>0</v>
      </c>
      <c r="AR177" s="19">
        <f t="shared" si="80"/>
        <v>41.306189066102434</v>
      </c>
      <c r="AS177" s="23">
        <f t="shared" si="70"/>
        <v>1125.9671890661025</v>
      </c>
    </row>
    <row r="178" spans="5:45">
      <c r="E178" s="35" t="str">
        <f t="shared" si="56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1"/>
        <v>2</v>
      </c>
      <c r="I178" s="19">
        <v>1.8</v>
      </c>
      <c r="J178" s="36">
        <f>'Flow Rate Calculations'!$B$7</f>
        <v>4.0831050228310497</v>
      </c>
      <c r="K178" s="36">
        <f t="shared" si="71"/>
        <v>1.6045588828318709</v>
      </c>
      <c r="L178" s="37">
        <f>$I178*$K178/'Calculation Constants'!$B$7</f>
        <v>2555934.503625989</v>
      </c>
      <c r="M178" s="37" t="str">
        <f t="shared" si="57"/>
        <v>Greater Dynamic Pressures</v>
      </c>
      <c r="N178" s="23">
        <f t="shared" si="72"/>
        <v>65.22383534046844</v>
      </c>
      <c r="O178" s="57">
        <f t="shared" si="58"/>
        <v>61.073161319502788</v>
      </c>
      <c r="P178" s="66">
        <f>MAX(I178*1000/'Calculation Constants'!$B$14,O178*10*I178*1000/2/('Calculation Constants'!$B$12*1000*'Calculation Constants'!$B$13))</f>
        <v>11.25</v>
      </c>
      <c r="Q178" s="68">
        <f t="shared" si="59"/>
        <v>992548.40161508287</v>
      </c>
      <c r="R178" s="27">
        <f>(1/(2*LOG(3.7*$I178/'Calculation Constants'!$B$2*1000)))^2</f>
        <v>8.7463077071963571E-3</v>
      </c>
      <c r="S178" s="19">
        <f t="shared" si="73"/>
        <v>1.2752477269849725</v>
      </c>
      <c r="T178" s="19">
        <f>IF($H178&gt;0,'Calculation Constants'!$B$9*Hydraulics!$K178^2/2/9.81/MAX($F$4:$F$263)*$H178,"")</f>
        <v>7.5705987075825154E-2</v>
      </c>
      <c r="U178" s="19">
        <f t="shared" si="74"/>
        <v>1.3509537140607977</v>
      </c>
      <c r="V178" s="19">
        <f t="shared" si="60"/>
        <v>0</v>
      </c>
      <c r="W178" s="19">
        <f t="shared" si="61"/>
        <v>65.22383534046844</v>
      </c>
      <c r="X178" s="23">
        <f t="shared" si="62"/>
        <v>1146.8858353404685</v>
      </c>
      <c r="Y178" s="22">
        <f>(1/(2*LOG(3.7*$I178/'Calculation Constants'!$B$3*1000)))^2</f>
        <v>9.8211436332891755E-3</v>
      </c>
      <c r="Z178" s="19">
        <f t="shared" si="63"/>
        <v>1.431963236834217</v>
      </c>
      <c r="AA178" s="19">
        <f>IF($H178&gt;0,'Calculation Constants'!$B$9*Hydraulics!$K178^2/2/9.81/MAX($F$4:$F$263)*$H178,"")</f>
        <v>7.5705987075825154E-2</v>
      </c>
      <c r="AB178" s="19">
        <f t="shared" si="82"/>
        <v>1.5076692239100422</v>
      </c>
      <c r="AC178" s="19">
        <f t="shared" si="64"/>
        <v>0</v>
      </c>
      <c r="AD178" s="19">
        <f t="shared" si="75"/>
        <v>61.073161319502788</v>
      </c>
      <c r="AE178" s="23">
        <f t="shared" si="65"/>
        <v>1142.7351613195028</v>
      </c>
      <c r="AF178" s="27">
        <f>(1/(2*LOG(3.7*$I178/'Calculation Constants'!$B$4*1000)))^2</f>
        <v>1.1575055557914658E-2</v>
      </c>
      <c r="AG178" s="19">
        <f t="shared" si="66"/>
        <v>1.6876908272744866</v>
      </c>
      <c r="AH178" s="19">
        <f>IF($H178&gt;0,'Calculation Constants'!$B$9*Hydraulics!$K178^2/2/9.81/MAX($F$4:$F$263)*$H178,"")</f>
        <v>7.5705987075825154E-2</v>
      </c>
      <c r="AI178" s="19">
        <f t="shared" si="76"/>
        <v>1.7633968143503118</v>
      </c>
      <c r="AJ178" s="19">
        <f t="shared" si="67"/>
        <v>0</v>
      </c>
      <c r="AK178" s="19">
        <f t="shared" si="77"/>
        <v>54.317240675198946</v>
      </c>
      <c r="AL178" s="23">
        <f t="shared" si="68"/>
        <v>1135.979240675199</v>
      </c>
      <c r="AM178" s="22">
        <f>(1/(2*LOG(3.7*($I178-0.008)/'Calculation Constants'!$B$5*1000)))^2</f>
        <v>1.4709705891825043E-2</v>
      </c>
      <c r="AN178" s="19">
        <f t="shared" si="78"/>
        <v>2.1543104841910781</v>
      </c>
      <c r="AO178" s="19">
        <f>IF($H178&gt;0,'Calculation Constants'!$B$9*Hydraulics!$K178^2/2/9.81/MAX($F$4:$F$263)*$H178,"")</f>
        <v>7.5705987075825154E-2</v>
      </c>
      <c r="AP178" s="19">
        <f t="shared" si="79"/>
        <v>2.2300164712669033</v>
      </c>
      <c r="AQ178" s="19">
        <f t="shared" si="69"/>
        <v>0</v>
      </c>
      <c r="AR178" s="19">
        <f t="shared" si="80"/>
        <v>42.075172594835522</v>
      </c>
      <c r="AS178" s="23">
        <f t="shared" si="70"/>
        <v>1123.7371725948356</v>
      </c>
    </row>
    <row r="179" spans="5:45">
      <c r="E179" s="35" t="str">
        <f t="shared" si="56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1"/>
        <v>2</v>
      </c>
      <c r="I179" s="19">
        <v>1.8</v>
      </c>
      <c r="J179" s="36">
        <f>'Flow Rate Calculations'!$B$7</f>
        <v>4.0831050228310497</v>
      </c>
      <c r="K179" s="36">
        <f t="shared" si="71"/>
        <v>1.6045588828318709</v>
      </c>
      <c r="L179" s="37">
        <f>$I179*$K179/'Calculation Constants'!$B$7</f>
        <v>2555934.503625989</v>
      </c>
      <c r="M179" s="37" t="str">
        <f t="shared" si="57"/>
        <v>Greater Dynamic Pressures</v>
      </c>
      <c r="N179" s="23">
        <f t="shared" si="72"/>
        <v>68.662881626407625</v>
      </c>
      <c r="O179" s="57">
        <f t="shared" si="58"/>
        <v>64.355492095592808</v>
      </c>
      <c r="P179" s="66">
        <f>MAX(I179*1000/'Calculation Constants'!$B$14,O179*10*I179*1000/2/('Calculation Constants'!$B$12*1000*'Calculation Constants'!$B$13))</f>
        <v>11.25</v>
      </c>
      <c r="Q179" s="68">
        <f t="shared" si="59"/>
        <v>992548.40161508287</v>
      </c>
      <c r="R179" s="27">
        <f>(1/(2*LOG(3.7*$I179/'Calculation Constants'!$B$2*1000)))^2</f>
        <v>8.7463077071963571E-3</v>
      </c>
      <c r="S179" s="19">
        <f t="shared" si="73"/>
        <v>1.2752477269849725</v>
      </c>
      <c r="T179" s="19">
        <f>IF($H179&gt;0,'Calculation Constants'!$B$9*Hydraulics!$K179^2/2/9.81/MAX($F$4:$F$263)*$H179,"")</f>
        <v>7.5705987075825154E-2</v>
      </c>
      <c r="U179" s="19">
        <f t="shared" si="74"/>
        <v>1.3509537140607977</v>
      </c>
      <c r="V179" s="19">
        <f t="shared" si="60"/>
        <v>0</v>
      </c>
      <c r="W179" s="19">
        <f t="shared" si="61"/>
        <v>68.662881626407625</v>
      </c>
      <c r="X179" s="23">
        <f t="shared" si="62"/>
        <v>1145.5348816264077</v>
      </c>
      <c r="Y179" s="22">
        <f>(1/(2*LOG(3.7*$I179/'Calculation Constants'!$B$3*1000)))^2</f>
        <v>9.8211436332891755E-3</v>
      </c>
      <c r="Z179" s="19">
        <f t="shared" si="63"/>
        <v>1.431963236834217</v>
      </c>
      <c r="AA179" s="19">
        <f>IF($H179&gt;0,'Calculation Constants'!$B$9*Hydraulics!$K179^2/2/9.81/MAX($F$4:$F$263)*$H179,"")</f>
        <v>7.5705987075825154E-2</v>
      </c>
      <c r="AB179" s="19">
        <f t="shared" si="82"/>
        <v>1.5076692239100422</v>
      </c>
      <c r="AC179" s="19">
        <f t="shared" si="64"/>
        <v>0</v>
      </c>
      <c r="AD179" s="19">
        <f t="shared" si="75"/>
        <v>64.355492095592808</v>
      </c>
      <c r="AE179" s="23">
        <f t="shared" si="65"/>
        <v>1141.2274920955929</v>
      </c>
      <c r="AF179" s="27">
        <f>(1/(2*LOG(3.7*$I179/'Calculation Constants'!$B$4*1000)))^2</f>
        <v>1.1575055557914658E-2</v>
      </c>
      <c r="AG179" s="19">
        <f t="shared" si="66"/>
        <v>1.6876908272744866</v>
      </c>
      <c r="AH179" s="19">
        <f>IF($H179&gt;0,'Calculation Constants'!$B$9*Hydraulics!$K179^2/2/9.81/MAX($F$4:$F$263)*$H179,"")</f>
        <v>7.5705987075825154E-2</v>
      </c>
      <c r="AI179" s="19">
        <f t="shared" si="76"/>
        <v>1.7633968143503118</v>
      </c>
      <c r="AJ179" s="19">
        <f t="shared" si="67"/>
        <v>0</v>
      </c>
      <c r="AK179" s="19">
        <f t="shared" si="77"/>
        <v>57.343843860848665</v>
      </c>
      <c r="AL179" s="23">
        <f t="shared" si="68"/>
        <v>1134.2158438608487</v>
      </c>
      <c r="AM179" s="22">
        <f>(1/(2*LOG(3.7*($I179-0.008)/'Calculation Constants'!$B$5*1000)))^2</f>
        <v>1.4709705891825043E-2</v>
      </c>
      <c r="AN179" s="19">
        <f t="shared" si="78"/>
        <v>2.1543104841910781</v>
      </c>
      <c r="AO179" s="19">
        <f>IF($H179&gt;0,'Calculation Constants'!$B$9*Hydraulics!$K179^2/2/9.81/MAX($F$4:$F$263)*$H179,"")</f>
        <v>7.5705987075825154E-2</v>
      </c>
      <c r="AP179" s="19">
        <f t="shared" si="79"/>
        <v>2.2300164712669033</v>
      </c>
      <c r="AQ179" s="19">
        <f t="shared" si="69"/>
        <v>0</v>
      </c>
      <c r="AR179" s="19">
        <f t="shared" si="80"/>
        <v>44.635156123568549</v>
      </c>
      <c r="AS179" s="23">
        <f t="shared" si="70"/>
        <v>1121.5071561235686</v>
      </c>
    </row>
    <row r="180" spans="5:45">
      <c r="E180" s="35" t="str">
        <f t="shared" si="56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1"/>
        <v>2</v>
      </c>
      <c r="I180" s="19">
        <v>1.8</v>
      </c>
      <c r="J180" s="36">
        <f>'Flow Rate Calculations'!$B$7</f>
        <v>4.0831050228310497</v>
      </c>
      <c r="K180" s="36">
        <f t="shared" si="71"/>
        <v>1.6045588828318709</v>
      </c>
      <c r="L180" s="37">
        <f>$I180*$K180/'Calculation Constants'!$B$7</f>
        <v>2555934.503625989</v>
      </c>
      <c r="M180" s="37" t="str">
        <f t="shared" si="57"/>
        <v>Greater Dynamic Pressures</v>
      </c>
      <c r="N180" s="23">
        <f t="shared" si="72"/>
        <v>73.285927912347006</v>
      </c>
      <c r="O180" s="57">
        <f t="shared" si="58"/>
        <v>68.821822871683025</v>
      </c>
      <c r="P180" s="66">
        <f>MAX(I180*1000/'Calculation Constants'!$B$14,O180*10*I180*1000/2/('Calculation Constants'!$B$12*1000*'Calculation Constants'!$B$13))</f>
        <v>11.25</v>
      </c>
      <c r="Q180" s="68">
        <f t="shared" si="59"/>
        <v>992548.40161508287</v>
      </c>
      <c r="R180" s="27">
        <f>(1/(2*LOG(3.7*$I180/'Calculation Constants'!$B$2*1000)))^2</f>
        <v>8.7463077071963571E-3</v>
      </c>
      <c r="S180" s="19">
        <f t="shared" si="73"/>
        <v>1.2752477269849725</v>
      </c>
      <c r="T180" s="19">
        <f>IF($H180&gt;0,'Calculation Constants'!$B$9*Hydraulics!$K180^2/2/9.81/MAX($F$4:$F$263)*$H180,"")</f>
        <v>7.5705987075825154E-2</v>
      </c>
      <c r="U180" s="19">
        <f t="shared" si="74"/>
        <v>1.3509537140607977</v>
      </c>
      <c r="V180" s="19">
        <f t="shared" si="60"/>
        <v>0</v>
      </c>
      <c r="W180" s="19">
        <f t="shared" si="61"/>
        <v>73.285927912347006</v>
      </c>
      <c r="X180" s="23">
        <f t="shared" si="62"/>
        <v>1144.1839279123469</v>
      </c>
      <c r="Y180" s="22">
        <f>(1/(2*LOG(3.7*$I180/'Calculation Constants'!$B$3*1000)))^2</f>
        <v>9.8211436332891755E-3</v>
      </c>
      <c r="Z180" s="19">
        <f t="shared" si="63"/>
        <v>1.431963236834217</v>
      </c>
      <c r="AA180" s="19">
        <f>IF($H180&gt;0,'Calculation Constants'!$B$9*Hydraulics!$K180^2/2/9.81/MAX($F$4:$F$263)*$H180,"")</f>
        <v>7.5705987075825154E-2</v>
      </c>
      <c r="AB180" s="19">
        <f t="shared" si="82"/>
        <v>1.5076692239100422</v>
      </c>
      <c r="AC180" s="19">
        <f t="shared" si="64"/>
        <v>0</v>
      </c>
      <c r="AD180" s="19">
        <f t="shared" si="75"/>
        <v>68.821822871683025</v>
      </c>
      <c r="AE180" s="23">
        <f t="shared" si="65"/>
        <v>1139.7198228716829</v>
      </c>
      <c r="AF180" s="27">
        <f>(1/(2*LOG(3.7*$I180/'Calculation Constants'!$B$4*1000)))^2</f>
        <v>1.1575055557914658E-2</v>
      </c>
      <c r="AG180" s="19">
        <f t="shared" si="66"/>
        <v>1.6876908272744866</v>
      </c>
      <c r="AH180" s="19">
        <f>IF($H180&gt;0,'Calculation Constants'!$B$9*Hydraulics!$K180^2/2/9.81/MAX($F$4:$F$263)*$H180,"")</f>
        <v>7.5705987075825154E-2</v>
      </c>
      <c r="AI180" s="19">
        <f t="shared" si="76"/>
        <v>1.7633968143503118</v>
      </c>
      <c r="AJ180" s="19">
        <f t="shared" si="67"/>
        <v>0</v>
      </c>
      <c r="AK180" s="19">
        <f t="shared" si="77"/>
        <v>61.554447046498581</v>
      </c>
      <c r="AL180" s="23">
        <f t="shared" si="68"/>
        <v>1132.4524470464985</v>
      </c>
      <c r="AM180" s="22">
        <f>(1/(2*LOG(3.7*($I180-0.008)/'Calculation Constants'!$B$5*1000)))^2</f>
        <v>1.4709705891825043E-2</v>
      </c>
      <c r="AN180" s="19">
        <f t="shared" si="78"/>
        <v>2.1543104841910781</v>
      </c>
      <c r="AO180" s="19">
        <f>IF($H180&gt;0,'Calculation Constants'!$B$9*Hydraulics!$K180^2/2/9.81/MAX($F$4:$F$263)*$H180,"")</f>
        <v>7.5705987075825154E-2</v>
      </c>
      <c r="AP180" s="19">
        <f t="shared" si="79"/>
        <v>2.2300164712669033</v>
      </c>
      <c r="AQ180" s="19">
        <f t="shared" si="69"/>
        <v>0</v>
      </c>
      <c r="AR180" s="19">
        <f t="shared" si="80"/>
        <v>48.379139652301774</v>
      </c>
      <c r="AS180" s="23">
        <f t="shared" si="70"/>
        <v>1119.2771396523017</v>
      </c>
    </row>
    <row r="181" spans="5:45">
      <c r="E181" s="35" t="str">
        <f t="shared" si="56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1"/>
        <v>2</v>
      </c>
      <c r="I181" s="19">
        <v>1.8</v>
      </c>
      <c r="J181" s="36">
        <f>'Flow Rate Calculations'!$B$7</f>
        <v>4.0831050228310497</v>
      </c>
      <c r="K181" s="36">
        <f t="shared" si="71"/>
        <v>1.6045588828318709</v>
      </c>
      <c r="L181" s="37">
        <f>$I181*$K181/'Calculation Constants'!$B$7</f>
        <v>2555934.503625989</v>
      </c>
      <c r="M181" s="37" t="str">
        <f t="shared" si="57"/>
        <v>Greater Dynamic Pressures</v>
      </c>
      <c r="N181" s="23">
        <f t="shared" si="72"/>
        <v>77.814974198286109</v>
      </c>
      <c r="O181" s="57">
        <f t="shared" si="58"/>
        <v>73.194153647772964</v>
      </c>
      <c r="P181" s="66">
        <f>MAX(I181*1000/'Calculation Constants'!$B$14,O181*10*I181*1000/2/('Calculation Constants'!$B$12*1000*'Calculation Constants'!$B$13))</f>
        <v>11.25</v>
      </c>
      <c r="Q181" s="68">
        <f t="shared" si="59"/>
        <v>992548.40161508287</v>
      </c>
      <c r="R181" s="27">
        <f>(1/(2*LOG(3.7*$I181/'Calculation Constants'!$B$2*1000)))^2</f>
        <v>8.7463077071963571E-3</v>
      </c>
      <c r="S181" s="19">
        <f t="shared" si="73"/>
        <v>1.2752477269849725</v>
      </c>
      <c r="T181" s="19">
        <f>IF($H181&gt;0,'Calculation Constants'!$B$9*Hydraulics!$K181^2/2/9.81/MAX($F$4:$F$263)*$H181,"")</f>
        <v>7.5705987075825154E-2</v>
      </c>
      <c r="U181" s="19">
        <f t="shared" si="74"/>
        <v>1.3509537140607977</v>
      </c>
      <c r="V181" s="19">
        <f t="shared" si="60"/>
        <v>0</v>
      </c>
      <c r="W181" s="19">
        <f t="shared" si="61"/>
        <v>77.814974198286109</v>
      </c>
      <c r="X181" s="23">
        <f t="shared" si="62"/>
        <v>1142.8329741982861</v>
      </c>
      <c r="Y181" s="22">
        <f>(1/(2*LOG(3.7*$I181/'Calculation Constants'!$B$3*1000)))^2</f>
        <v>9.8211436332891755E-3</v>
      </c>
      <c r="Z181" s="19">
        <f t="shared" si="63"/>
        <v>1.431963236834217</v>
      </c>
      <c r="AA181" s="19">
        <f>IF($H181&gt;0,'Calculation Constants'!$B$9*Hydraulics!$K181^2/2/9.81/MAX($F$4:$F$263)*$H181,"")</f>
        <v>7.5705987075825154E-2</v>
      </c>
      <c r="AB181" s="19">
        <f t="shared" si="82"/>
        <v>1.5076692239100422</v>
      </c>
      <c r="AC181" s="19">
        <f t="shared" si="64"/>
        <v>0</v>
      </c>
      <c r="AD181" s="19">
        <f t="shared" si="75"/>
        <v>73.194153647772964</v>
      </c>
      <c r="AE181" s="23">
        <f t="shared" si="65"/>
        <v>1138.212153647773</v>
      </c>
      <c r="AF181" s="27">
        <f>(1/(2*LOG(3.7*$I181/'Calculation Constants'!$B$4*1000)))^2</f>
        <v>1.1575055557914658E-2</v>
      </c>
      <c r="AG181" s="19">
        <f t="shared" si="66"/>
        <v>1.6876908272744866</v>
      </c>
      <c r="AH181" s="19">
        <f>IF($H181&gt;0,'Calculation Constants'!$B$9*Hydraulics!$K181^2/2/9.81/MAX($F$4:$F$263)*$H181,"")</f>
        <v>7.5705987075825154E-2</v>
      </c>
      <c r="AI181" s="19">
        <f t="shared" si="76"/>
        <v>1.7633968143503118</v>
      </c>
      <c r="AJ181" s="19">
        <f t="shared" si="67"/>
        <v>0</v>
      </c>
      <c r="AK181" s="19">
        <f t="shared" si="77"/>
        <v>65.671050232148218</v>
      </c>
      <c r="AL181" s="23">
        <f t="shared" si="68"/>
        <v>1130.6890502321482</v>
      </c>
      <c r="AM181" s="22">
        <f>(1/(2*LOG(3.7*($I181-0.008)/'Calculation Constants'!$B$5*1000)))^2</f>
        <v>1.4709705891825043E-2</v>
      </c>
      <c r="AN181" s="19">
        <f t="shared" si="78"/>
        <v>2.1543104841910781</v>
      </c>
      <c r="AO181" s="19">
        <f>IF($H181&gt;0,'Calculation Constants'!$B$9*Hydraulics!$K181^2/2/9.81/MAX($F$4:$F$263)*$H181,"")</f>
        <v>7.5705987075825154E-2</v>
      </c>
      <c r="AP181" s="19">
        <f t="shared" si="79"/>
        <v>2.2300164712669033</v>
      </c>
      <c r="AQ181" s="19">
        <f t="shared" si="69"/>
        <v>0</v>
      </c>
      <c r="AR181" s="19">
        <f t="shared" si="80"/>
        <v>52.02912318103472</v>
      </c>
      <c r="AS181" s="23">
        <f t="shared" si="70"/>
        <v>1117.0471231810347</v>
      </c>
    </row>
    <row r="182" spans="5:45">
      <c r="E182" s="35" t="str">
        <f t="shared" si="56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1"/>
        <v>2</v>
      </c>
      <c r="I182" s="19">
        <v>1.8</v>
      </c>
      <c r="J182" s="36">
        <f>'Flow Rate Calculations'!$B$7</f>
        <v>4.0831050228310497</v>
      </c>
      <c r="K182" s="36">
        <f t="shared" si="71"/>
        <v>1.6045588828318709</v>
      </c>
      <c r="L182" s="37">
        <f>$I182*$K182/'Calculation Constants'!$B$7</f>
        <v>2555934.503625989</v>
      </c>
      <c r="M182" s="37" t="str">
        <f t="shared" si="57"/>
        <v>Greater Dynamic Pressures</v>
      </c>
      <c r="N182" s="23">
        <f t="shared" si="72"/>
        <v>81.902020484225432</v>
      </c>
      <c r="O182" s="57">
        <f t="shared" si="58"/>
        <v>77.124484423863123</v>
      </c>
      <c r="P182" s="66">
        <f>MAX(I182*1000/'Calculation Constants'!$B$14,O182*10*I182*1000/2/('Calculation Constants'!$B$12*1000*'Calculation Constants'!$B$13))</f>
        <v>11.25</v>
      </c>
      <c r="Q182" s="68">
        <f t="shared" si="59"/>
        <v>992548.40161508287</v>
      </c>
      <c r="R182" s="27">
        <f>(1/(2*LOG(3.7*$I182/'Calculation Constants'!$B$2*1000)))^2</f>
        <v>8.7463077071963571E-3</v>
      </c>
      <c r="S182" s="19">
        <f t="shared" si="73"/>
        <v>1.2752477269849725</v>
      </c>
      <c r="T182" s="19">
        <f>IF($H182&gt;0,'Calculation Constants'!$B$9*Hydraulics!$K182^2/2/9.81/MAX($F$4:$F$263)*$H182,"")</f>
        <v>7.5705987075825154E-2</v>
      </c>
      <c r="U182" s="19">
        <f t="shared" si="74"/>
        <v>1.3509537140607977</v>
      </c>
      <c r="V182" s="19">
        <f t="shared" si="60"/>
        <v>0</v>
      </c>
      <c r="W182" s="19">
        <f t="shared" si="61"/>
        <v>81.902020484225432</v>
      </c>
      <c r="X182" s="23">
        <f t="shared" si="62"/>
        <v>1141.4820204842254</v>
      </c>
      <c r="Y182" s="22">
        <f>(1/(2*LOG(3.7*$I182/'Calculation Constants'!$B$3*1000)))^2</f>
        <v>9.8211436332891755E-3</v>
      </c>
      <c r="Z182" s="19">
        <f t="shared" si="63"/>
        <v>1.431963236834217</v>
      </c>
      <c r="AA182" s="19">
        <f>IF($H182&gt;0,'Calculation Constants'!$B$9*Hydraulics!$K182^2/2/9.81/MAX($F$4:$F$263)*$H182,"")</f>
        <v>7.5705987075825154E-2</v>
      </c>
      <c r="AB182" s="19">
        <f t="shared" si="82"/>
        <v>1.5076692239100422</v>
      </c>
      <c r="AC182" s="19">
        <f t="shared" si="64"/>
        <v>0</v>
      </c>
      <c r="AD182" s="19">
        <f t="shared" si="75"/>
        <v>77.124484423863123</v>
      </c>
      <c r="AE182" s="23">
        <f t="shared" si="65"/>
        <v>1136.7044844238631</v>
      </c>
      <c r="AF182" s="27">
        <f>(1/(2*LOG(3.7*$I182/'Calculation Constants'!$B$4*1000)))^2</f>
        <v>1.1575055557914658E-2</v>
      </c>
      <c r="AG182" s="19">
        <f t="shared" si="66"/>
        <v>1.6876908272744866</v>
      </c>
      <c r="AH182" s="19">
        <f>IF($H182&gt;0,'Calculation Constants'!$B$9*Hydraulics!$K182^2/2/9.81/MAX($F$4:$F$263)*$H182,"")</f>
        <v>7.5705987075825154E-2</v>
      </c>
      <c r="AI182" s="19">
        <f t="shared" si="76"/>
        <v>1.7633968143503118</v>
      </c>
      <c r="AJ182" s="19">
        <f t="shared" si="67"/>
        <v>0</v>
      </c>
      <c r="AK182" s="19">
        <f t="shared" si="77"/>
        <v>69.345653417798076</v>
      </c>
      <c r="AL182" s="23">
        <f t="shared" si="68"/>
        <v>1128.925653417798</v>
      </c>
      <c r="AM182" s="22">
        <f>(1/(2*LOG(3.7*($I182-0.008)/'Calculation Constants'!$B$5*1000)))^2</f>
        <v>1.4709705891825043E-2</v>
      </c>
      <c r="AN182" s="19">
        <f t="shared" si="78"/>
        <v>2.1543104841910781</v>
      </c>
      <c r="AO182" s="19">
        <f>IF($H182&gt;0,'Calculation Constants'!$B$9*Hydraulics!$K182^2/2/9.81/MAX($F$4:$F$263)*$H182,"")</f>
        <v>7.5705987075825154E-2</v>
      </c>
      <c r="AP182" s="19">
        <f t="shared" si="79"/>
        <v>2.2300164712669033</v>
      </c>
      <c r="AQ182" s="19">
        <f t="shared" si="69"/>
        <v>0</v>
      </c>
      <c r="AR182" s="19">
        <f t="shared" si="80"/>
        <v>55.237106709767886</v>
      </c>
      <c r="AS182" s="23">
        <f t="shared" si="70"/>
        <v>1114.8171067097678</v>
      </c>
    </row>
    <row r="183" spans="5:45">
      <c r="E183" s="35" t="str">
        <f t="shared" si="56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1"/>
        <v>2</v>
      </c>
      <c r="I183" s="19">
        <v>1.8</v>
      </c>
      <c r="J183" s="36">
        <f>'Flow Rate Calculations'!$B$7</f>
        <v>4.0831050228310497</v>
      </c>
      <c r="K183" s="36">
        <f t="shared" si="71"/>
        <v>1.6045588828318709</v>
      </c>
      <c r="L183" s="37">
        <f>$I183*$K183/'Calculation Constants'!$B$7</f>
        <v>2555934.503625989</v>
      </c>
      <c r="M183" s="37" t="str">
        <f t="shared" si="57"/>
        <v>Greater Dynamic Pressures</v>
      </c>
      <c r="N183" s="23">
        <f t="shared" si="72"/>
        <v>84.847066770164474</v>
      </c>
      <c r="O183" s="57">
        <f t="shared" si="58"/>
        <v>79.912815199953002</v>
      </c>
      <c r="P183" s="66">
        <f>MAX(I183*1000/'Calculation Constants'!$B$14,O183*10*I183*1000/2/('Calculation Constants'!$B$12*1000*'Calculation Constants'!$B$13))</f>
        <v>11.25</v>
      </c>
      <c r="Q183" s="68">
        <f t="shared" si="59"/>
        <v>992548.40161508287</v>
      </c>
      <c r="R183" s="27">
        <f>(1/(2*LOG(3.7*$I183/'Calculation Constants'!$B$2*1000)))^2</f>
        <v>8.7463077071963571E-3</v>
      </c>
      <c r="S183" s="19">
        <f t="shared" si="73"/>
        <v>1.2752477269849725</v>
      </c>
      <c r="T183" s="19">
        <f>IF($H183&gt;0,'Calculation Constants'!$B$9*Hydraulics!$K183^2/2/9.81/MAX($F$4:$F$263)*$H183,"")</f>
        <v>7.5705987075825154E-2</v>
      </c>
      <c r="U183" s="19">
        <f t="shared" si="74"/>
        <v>1.3509537140607977</v>
      </c>
      <c r="V183" s="19">
        <f t="shared" si="60"/>
        <v>0</v>
      </c>
      <c r="W183" s="19">
        <f t="shared" si="61"/>
        <v>84.847066770164474</v>
      </c>
      <c r="X183" s="23">
        <f t="shared" si="62"/>
        <v>1140.1310667701646</v>
      </c>
      <c r="Y183" s="22">
        <f>(1/(2*LOG(3.7*$I183/'Calculation Constants'!$B$3*1000)))^2</f>
        <v>9.8211436332891755E-3</v>
      </c>
      <c r="Z183" s="19">
        <f t="shared" si="63"/>
        <v>1.431963236834217</v>
      </c>
      <c r="AA183" s="19">
        <f>IF($H183&gt;0,'Calculation Constants'!$B$9*Hydraulics!$K183^2/2/9.81/MAX($F$4:$F$263)*$H183,"")</f>
        <v>7.5705987075825154E-2</v>
      </c>
      <c r="AB183" s="19">
        <f t="shared" si="82"/>
        <v>1.5076692239100422</v>
      </c>
      <c r="AC183" s="19">
        <f t="shared" si="64"/>
        <v>0</v>
      </c>
      <c r="AD183" s="19">
        <f t="shared" si="75"/>
        <v>79.912815199953002</v>
      </c>
      <c r="AE183" s="23">
        <f t="shared" si="65"/>
        <v>1135.1968151999531</v>
      </c>
      <c r="AF183" s="27">
        <f>(1/(2*LOG(3.7*$I183/'Calculation Constants'!$B$4*1000)))^2</f>
        <v>1.1575055557914658E-2</v>
      </c>
      <c r="AG183" s="19">
        <f t="shared" si="66"/>
        <v>1.6876908272744866</v>
      </c>
      <c r="AH183" s="19">
        <f>IF($H183&gt;0,'Calculation Constants'!$B$9*Hydraulics!$K183^2/2/9.81/MAX($F$4:$F$263)*$H183,"")</f>
        <v>7.5705987075825154E-2</v>
      </c>
      <c r="AI183" s="19">
        <f t="shared" si="76"/>
        <v>1.7633968143503118</v>
      </c>
      <c r="AJ183" s="19">
        <f t="shared" si="67"/>
        <v>0</v>
      </c>
      <c r="AK183" s="19">
        <f t="shared" si="77"/>
        <v>71.878256603447653</v>
      </c>
      <c r="AL183" s="23">
        <f t="shared" si="68"/>
        <v>1127.1622566034478</v>
      </c>
      <c r="AM183" s="22">
        <f>(1/(2*LOG(3.7*($I183-0.008)/'Calculation Constants'!$B$5*1000)))^2</f>
        <v>1.4709705891825043E-2</v>
      </c>
      <c r="AN183" s="19">
        <f t="shared" si="78"/>
        <v>2.1543104841910781</v>
      </c>
      <c r="AO183" s="19">
        <f>IF($H183&gt;0,'Calculation Constants'!$B$9*Hydraulics!$K183^2/2/9.81/MAX($F$4:$F$263)*$H183,"")</f>
        <v>7.5705987075825154E-2</v>
      </c>
      <c r="AP183" s="19">
        <f t="shared" si="79"/>
        <v>2.2300164712669033</v>
      </c>
      <c r="AQ183" s="19">
        <f t="shared" si="69"/>
        <v>0</v>
      </c>
      <c r="AR183" s="19">
        <f t="shared" si="80"/>
        <v>57.303090238500772</v>
      </c>
      <c r="AS183" s="23">
        <f t="shared" si="70"/>
        <v>1112.5870902385009</v>
      </c>
    </row>
    <row r="184" spans="5:45">
      <c r="E184" s="35" t="str">
        <f t="shared" si="56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1"/>
        <v>2</v>
      </c>
      <c r="I184" s="19">
        <v>1.8</v>
      </c>
      <c r="J184" s="36">
        <f>'Flow Rate Calculations'!$B$7</f>
        <v>4.0831050228310497</v>
      </c>
      <c r="K184" s="36">
        <f t="shared" si="71"/>
        <v>1.6045588828318709</v>
      </c>
      <c r="L184" s="37">
        <f>$I184*$K184/'Calculation Constants'!$B$7</f>
        <v>2555934.503625989</v>
      </c>
      <c r="M184" s="37" t="str">
        <f t="shared" si="57"/>
        <v>Greater Dynamic Pressures</v>
      </c>
      <c r="N184" s="23">
        <f t="shared" si="72"/>
        <v>87.894113056103834</v>
      </c>
      <c r="O184" s="57">
        <f t="shared" si="58"/>
        <v>82.803145976043197</v>
      </c>
      <c r="P184" s="66">
        <f>MAX(I184*1000/'Calculation Constants'!$B$14,O184*10*I184*1000/2/('Calculation Constants'!$B$12*1000*'Calculation Constants'!$B$13))</f>
        <v>11.25</v>
      </c>
      <c r="Q184" s="68">
        <f t="shared" si="59"/>
        <v>992548.40161508287</v>
      </c>
      <c r="R184" s="27">
        <f>(1/(2*LOG(3.7*$I184/'Calculation Constants'!$B$2*1000)))^2</f>
        <v>8.7463077071963571E-3</v>
      </c>
      <c r="S184" s="19">
        <f t="shared" si="73"/>
        <v>1.2752477269849725</v>
      </c>
      <c r="T184" s="19">
        <f>IF($H184&gt;0,'Calculation Constants'!$B$9*Hydraulics!$K184^2/2/9.81/MAX($F$4:$F$263)*$H184,"")</f>
        <v>7.5705987075825154E-2</v>
      </c>
      <c r="U184" s="19">
        <f t="shared" si="74"/>
        <v>1.3509537140607977</v>
      </c>
      <c r="V184" s="19">
        <f t="shared" si="60"/>
        <v>0</v>
      </c>
      <c r="W184" s="19">
        <f t="shared" si="61"/>
        <v>87.894113056103834</v>
      </c>
      <c r="X184" s="23">
        <f t="shared" si="62"/>
        <v>1138.7801130561038</v>
      </c>
      <c r="Y184" s="22">
        <f>(1/(2*LOG(3.7*$I184/'Calculation Constants'!$B$3*1000)))^2</f>
        <v>9.8211436332891755E-3</v>
      </c>
      <c r="Z184" s="19">
        <f t="shared" si="63"/>
        <v>1.431963236834217</v>
      </c>
      <c r="AA184" s="19">
        <f>IF($H184&gt;0,'Calculation Constants'!$B$9*Hydraulics!$K184^2/2/9.81/MAX($F$4:$F$263)*$H184,"")</f>
        <v>7.5705987075825154E-2</v>
      </c>
      <c r="AB184" s="19">
        <f t="shared" si="82"/>
        <v>1.5076692239100422</v>
      </c>
      <c r="AC184" s="19">
        <f t="shared" si="64"/>
        <v>0</v>
      </c>
      <c r="AD184" s="19">
        <f t="shared" si="75"/>
        <v>82.803145976043197</v>
      </c>
      <c r="AE184" s="23">
        <f t="shared" si="65"/>
        <v>1133.6891459760432</v>
      </c>
      <c r="AF184" s="27">
        <f>(1/(2*LOG(3.7*$I184/'Calculation Constants'!$B$4*1000)))^2</f>
        <v>1.1575055557914658E-2</v>
      </c>
      <c r="AG184" s="19">
        <f t="shared" si="66"/>
        <v>1.6876908272744866</v>
      </c>
      <c r="AH184" s="19">
        <f>IF($H184&gt;0,'Calculation Constants'!$B$9*Hydraulics!$K184^2/2/9.81/MAX($F$4:$F$263)*$H184,"")</f>
        <v>7.5705987075825154E-2</v>
      </c>
      <c r="AI184" s="19">
        <f t="shared" si="76"/>
        <v>1.7633968143503118</v>
      </c>
      <c r="AJ184" s="19">
        <f t="shared" si="67"/>
        <v>0</v>
      </c>
      <c r="AK184" s="19">
        <f t="shared" si="77"/>
        <v>74.512859789097547</v>
      </c>
      <c r="AL184" s="23">
        <f t="shared" si="68"/>
        <v>1125.3988597890975</v>
      </c>
      <c r="AM184" s="22">
        <f>(1/(2*LOG(3.7*($I184-0.008)/'Calculation Constants'!$B$5*1000)))^2</f>
        <v>1.4709705891825043E-2</v>
      </c>
      <c r="AN184" s="19">
        <f t="shared" si="78"/>
        <v>2.1543104841910781</v>
      </c>
      <c r="AO184" s="19">
        <f>IF($H184&gt;0,'Calculation Constants'!$B$9*Hydraulics!$K184^2/2/9.81/MAX($F$4:$F$263)*$H184,"")</f>
        <v>7.5705987075825154E-2</v>
      </c>
      <c r="AP184" s="19">
        <f t="shared" si="79"/>
        <v>2.2300164712669033</v>
      </c>
      <c r="AQ184" s="19">
        <f t="shared" si="69"/>
        <v>0</v>
      </c>
      <c r="AR184" s="19">
        <f t="shared" si="80"/>
        <v>59.471073767233975</v>
      </c>
      <c r="AS184" s="23">
        <f t="shared" si="70"/>
        <v>1110.3570737672339</v>
      </c>
    </row>
    <row r="185" spans="5:45">
      <c r="E185" s="35" t="str">
        <f t="shared" si="56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1"/>
        <v>2</v>
      </c>
      <c r="I185" s="19">
        <v>1.8</v>
      </c>
      <c r="J185" s="36">
        <f>'Flow Rate Calculations'!$B$7</f>
        <v>4.0831050228310497</v>
      </c>
      <c r="K185" s="36">
        <f t="shared" si="71"/>
        <v>1.6045588828318709</v>
      </c>
      <c r="L185" s="37">
        <f>$I185*$K185/'Calculation Constants'!$B$7</f>
        <v>2555934.503625989</v>
      </c>
      <c r="M185" s="37" t="str">
        <f t="shared" si="57"/>
        <v>Greater Dynamic Pressures</v>
      </c>
      <c r="N185" s="23">
        <f t="shared" si="72"/>
        <v>84.782159342043087</v>
      </c>
      <c r="O185" s="57">
        <f t="shared" si="58"/>
        <v>79.534476752133287</v>
      </c>
      <c r="P185" s="66">
        <f>MAX(I185*1000/'Calculation Constants'!$B$14,O185*10*I185*1000/2/('Calculation Constants'!$B$12*1000*'Calculation Constants'!$B$13))</f>
        <v>11.25</v>
      </c>
      <c r="Q185" s="68">
        <f t="shared" si="59"/>
        <v>992548.40161508287</v>
      </c>
      <c r="R185" s="27">
        <f>(1/(2*LOG(3.7*$I185/'Calculation Constants'!$B$2*1000)))^2</f>
        <v>8.7463077071963571E-3</v>
      </c>
      <c r="S185" s="19">
        <f t="shared" si="73"/>
        <v>1.2752477269849725</v>
      </c>
      <c r="T185" s="19">
        <f>IF($H185&gt;0,'Calculation Constants'!$B$9*Hydraulics!$K185^2/2/9.81/MAX($F$4:$F$263)*$H185,"")</f>
        <v>7.5705987075825154E-2</v>
      </c>
      <c r="U185" s="19">
        <f t="shared" si="74"/>
        <v>1.3509537140607977</v>
      </c>
      <c r="V185" s="19">
        <f t="shared" si="60"/>
        <v>0</v>
      </c>
      <c r="W185" s="19">
        <f t="shared" si="61"/>
        <v>84.782159342043087</v>
      </c>
      <c r="X185" s="23">
        <f t="shared" si="62"/>
        <v>1137.429159342043</v>
      </c>
      <c r="Y185" s="22">
        <f>(1/(2*LOG(3.7*$I185/'Calculation Constants'!$B$3*1000)))^2</f>
        <v>9.8211436332891755E-3</v>
      </c>
      <c r="Z185" s="19">
        <f t="shared" si="63"/>
        <v>1.431963236834217</v>
      </c>
      <c r="AA185" s="19">
        <f>IF($H185&gt;0,'Calculation Constants'!$B$9*Hydraulics!$K185^2/2/9.81/MAX($F$4:$F$263)*$H185,"")</f>
        <v>7.5705987075825154E-2</v>
      </c>
      <c r="AB185" s="19">
        <f t="shared" si="82"/>
        <v>1.5076692239100422</v>
      </c>
      <c r="AC185" s="19">
        <f t="shared" si="64"/>
        <v>0</v>
      </c>
      <c r="AD185" s="19">
        <f t="shared" si="75"/>
        <v>79.534476752133287</v>
      </c>
      <c r="AE185" s="23">
        <f t="shared" si="65"/>
        <v>1132.1814767521332</v>
      </c>
      <c r="AF185" s="27">
        <f>(1/(2*LOG(3.7*$I185/'Calculation Constants'!$B$4*1000)))^2</f>
        <v>1.1575055557914658E-2</v>
      </c>
      <c r="AG185" s="19">
        <f t="shared" si="66"/>
        <v>1.6876908272744866</v>
      </c>
      <c r="AH185" s="19">
        <f>IF($H185&gt;0,'Calculation Constants'!$B$9*Hydraulics!$K185^2/2/9.81/MAX($F$4:$F$263)*$H185,"")</f>
        <v>7.5705987075825154E-2</v>
      </c>
      <c r="AI185" s="19">
        <f t="shared" si="76"/>
        <v>1.7633968143503118</v>
      </c>
      <c r="AJ185" s="19">
        <f t="shared" si="67"/>
        <v>0</v>
      </c>
      <c r="AK185" s="19">
        <f t="shared" si="77"/>
        <v>70.988462974747335</v>
      </c>
      <c r="AL185" s="23">
        <f t="shared" si="68"/>
        <v>1123.6354629747473</v>
      </c>
      <c r="AM185" s="22">
        <f>(1/(2*LOG(3.7*($I185-0.008)/'Calculation Constants'!$B$5*1000)))^2</f>
        <v>1.4709705891825043E-2</v>
      </c>
      <c r="AN185" s="19">
        <f t="shared" si="78"/>
        <v>2.1543104841910781</v>
      </c>
      <c r="AO185" s="19">
        <f>IF($H185&gt;0,'Calculation Constants'!$B$9*Hydraulics!$K185^2/2/9.81/MAX($F$4:$F$263)*$H185,"")</f>
        <v>7.5705987075825154E-2</v>
      </c>
      <c r="AP185" s="19">
        <f t="shared" si="79"/>
        <v>2.2300164712669033</v>
      </c>
      <c r="AQ185" s="19">
        <f t="shared" si="69"/>
        <v>0</v>
      </c>
      <c r="AR185" s="19">
        <f t="shared" si="80"/>
        <v>55.480057295967072</v>
      </c>
      <c r="AS185" s="23">
        <f t="shared" si="70"/>
        <v>1108.127057295967</v>
      </c>
    </row>
    <row r="186" spans="5:45">
      <c r="E186" s="35" t="str">
        <f t="shared" si="56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1"/>
        <v>2</v>
      </c>
      <c r="I186" s="19">
        <v>1.8</v>
      </c>
      <c r="J186" s="36">
        <f>'Flow Rate Calculations'!$B$7</f>
        <v>4.0831050228310497</v>
      </c>
      <c r="K186" s="36">
        <f t="shared" si="71"/>
        <v>1.6045588828318709</v>
      </c>
      <c r="L186" s="37">
        <f>$I186*$K186/'Calculation Constants'!$B$7</f>
        <v>2555934.503625989</v>
      </c>
      <c r="M186" s="37" t="str">
        <f t="shared" si="57"/>
        <v>Greater Dynamic Pressures</v>
      </c>
      <c r="N186" s="23">
        <f t="shared" si="72"/>
        <v>84.961205627982281</v>
      </c>
      <c r="O186" s="57">
        <f t="shared" si="58"/>
        <v>79.556807528223317</v>
      </c>
      <c r="P186" s="66">
        <f>MAX(I186*1000/'Calculation Constants'!$B$14,O186*10*I186*1000/2/('Calculation Constants'!$B$12*1000*'Calculation Constants'!$B$13))</f>
        <v>11.25</v>
      </c>
      <c r="Q186" s="68">
        <f t="shared" si="59"/>
        <v>992548.40161508287</v>
      </c>
      <c r="R186" s="27">
        <f>(1/(2*LOG(3.7*$I186/'Calculation Constants'!$B$2*1000)))^2</f>
        <v>8.7463077071963571E-3</v>
      </c>
      <c r="S186" s="19">
        <f t="shared" si="73"/>
        <v>1.2752477269849725</v>
      </c>
      <c r="T186" s="19">
        <f>IF($H186&gt;0,'Calculation Constants'!$B$9*Hydraulics!$K186^2/2/9.81/MAX($F$4:$F$263)*$H186,"")</f>
        <v>7.5705987075825154E-2</v>
      </c>
      <c r="U186" s="19">
        <f t="shared" si="74"/>
        <v>1.3509537140607977</v>
      </c>
      <c r="V186" s="19">
        <f t="shared" si="60"/>
        <v>0</v>
      </c>
      <c r="W186" s="19">
        <f t="shared" si="61"/>
        <v>84.961205627982281</v>
      </c>
      <c r="X186" s="23">
        <f t="shared" si="62"/>
        <v>1136.0782056279822</v>
      </c>
      <c r="Y186" s="22">
        <f>(1/(2*LOG(3.7*$I186/'Calculation Constants'!$B$3*1000)))^2</f>
        <v>9.8211436332891755E-3</v>
      </c>
      <c r="Z186" s="19">
        <f t="shared" si="63"/>
        <v>1.431963236834217</v>
      </c>
      <c r="AA186" s="19">
        <f>IF($H186&gt;0,'Calculation Constants'!$B$9*Hydraulics!$K186^2/2/9.81/MAX($F$4:$F$263)*$H186,"")</f>
        <v>7.5705987075825154E-2</v>
      </c>
      <c r="AB186" s="19">
        <f t="shared" si="82"/>
        <v>1.5076692239100422</v>
      </c>
      <c r="AC186" s="19">
        <f t="shared" si="64"/>
        <v>0</v>
      </c>
      <c r="AD186" s="19">
        <f t="shared" si="75"/>
        <v>79.556807528223317</v>
      </c>
      <c r="AE186" s="23">
        <f t="shared" si="65"/>
        <v>1130.6738075282233</v>
      </c>
      <c r="AF186" s="27">
        <f>(1/(2*LOG(3.7*$I186/'Calculation Constants'!$B$4*1000)))^2</f>
        <v>1.1575055557914658E-2</v>
      </c>
      <c r="AG186" s="19">
        <f t="shared" si="66"/>
        <v>1.6876908272744866</v>
      </c>
      <c r="AH186" s="19">
        <f>IF($H186&gt;0,'Calculation Constants'!$B$9*Hydraulics!$K186^2/2/9.81/MAX($F$4:$F$263)*$H186,"")</f>
        <v>7.5705987075825154E-2</v>
      </c>
      <c r="AI186" s="19">
        <f t="shared" si="76"/>
        <v>1.7633968143503118</v>
      </c>
      <c r="AJ186" s="19">
        <f t="shared" si="67"/>
        <v>0</v>
      </c>
      <c r="AK186" s="19">
        <f t="shared" si="77"/>
        <v>70.755066160397064</v>
      </c>
      <c r="AL186" s="23">
        <f t="shared" si="68"/>
        <v>1121.872066160397</v>
      </c>
      <c r="AM186" s="22">
        <f>(1/(2*LOG(3.7*($I186-0.008)/'Calculation Constants'!$B$5*1000)))^2</f>
        <v>1.4709705891825043E-2</v>
      </c>
      <c r="AN186" s="19">
        <f t="shared" si="78"/>
        <v>2.1543104841910781</v>
      </c>
      <c r="AO186" s="19">
        <f>IF($H186&gt;0,'Calculation Constants'!$B$9*Hydraulics!$K186^2/2/9.81/MAX($F$4:$F$263)*$H186,"")</f>
        <v>7.5705987075825154E-2</v>
      </c>
      <c r="AP186" s="19">
        <f t="shared" si="79"/>
        <v>2.2300164712669033</v>
      </c>
      <c r="AQ186" s="19">
        <f t="shared" si="69"/>
        <v>0</v>
      </c>
      <c r="AR186" s="19">
        <f t="shared" si="80"/>
        <v>54.780040824700109</v>
      </c>
      <c r="AS186" s="23">
        <f t="shared" si="70"/>
        <v>1105.8970408247001</v>
      </c>
    </row>
    <row r="187" spans="5:45">
      <c r="E187" s="35" t="str">
        <f t="shared" si="56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1"/>
        <v>2</v>
      </c>
      <c r="I187" s="19">
        <v>1.8</v>
      </c>
      <c r="J187" s="36">
        <f>'Flow Rate Calculations'!$B$7</f>
        <v>4.0831050228310497</v>
      </c>
      <c r="K187" s="36">
        <f t="shared" si="71"/>
        <v>1.6045588828318709</v>
      </c>
      <c r="L187" s="37">
        <f>$I187*$K187/'Calculation Constants'!$B$7</f>
        <v>2555934.503625989</v>
      </c>
      <c r="M187" s="37" t="str">
        <f t="shared" si="57"/>
        <v>Greater Dynamic Pressures</v>
      </c>
      <c r="N187" s="23">
        <f t="shared" si="72"/>
        <v>86.461251913921387</v>
      </c>
      <c r="O187" s="57">
        <f t="shared" si="58"/>
        <v>80.900138304313259</v>
      </c>
      <c r="P187" s="66">
        <f>MAX(I187*1000/'Calculation Constants'!$B$14,O187*10*I187*1000/2/('Calculation Constants'!$B$12*1000*'Calculation Constants'!$B$13))</f>
        <v>11.25</v>
      </c>
      <c r="Q187" s="68">
        <f t="shared" si="59"/>
        <v>992548.40161508287</v>
      </c>
      <c r="R187" s="27">
        <f>(1/(2*LOG(3.7*$I187/'Calculation Constants'!$B$2*1000)))^2</f>
        <v>8.7463077071963571E-3</v>
      </c>
      <c r="S187" s="19">
        <f t="shared" si="73"/>
        <v>1.2752477269849725</v>
      </c>
      <c r="T187" s="19">
        <f>IF($H187&gt;0,'Calculation Constants'!$B$9*Hydraulics!$K187^2/2/9.81/MAX($F$4:$F$263)*$H187,"")</f>
        <v>7.5705987075825154E-2</v>
      </c>
      <c r="U187" s="19">
        <f t="shared" si="74"/>
        <v>1.3509537140607977</v>
      </c>
      <c r="V187" s="19">
        <f t="shared" si="60"/>
        <v>0</v>
      </c>
      <c r="W187" s="19">
        <f t="shared" si="61"/>
        <v>86.461251913921387</v>
      </c>
      <c r="X187" s="23">
        <f t="shared" si="62"/>
        <v>1134.7272519139215</v>
      </c>
      <c r="Y187" s="22">
        <f>(1/(2*LOG(3.7*$I187/'Calculation Constants'!$B$3*1000)))^2</f>
        <v>9.8211436332891755E-3</v>
      </c>
      <c r="Z187" s="19">
        <f t="shared" si="63"/>
        <v>1.431963236834217</v>
      </c>
      <c r="AA187" s="19">
        <f>IF($H187&gt;0,'Calculation Constants'!$B$9*Hydraulics!$K187^2/2/9.81/MAX($F$4:$F$263)*$H187,"")</f>
        <v>7.5705987075825154E-2</v>
      </c>
      <c r="AB187" s="19">
        <f t="shared" si="82"/>
        <v>1.5076692239100422</v>
      </c>
      <c r="AC187" s="19">
        <f t="shared" si="64"/>
        <v>0</v>
      </c>
      <c r="AD187" s="19">
        <f t="shared" si="75"/>
        <v>80.900138304313259</v>
      </c>
      <c r="AE187" s="23">
        <f t="shared" si="65"/>
        <v>1129.1661383043133</v>
      </c>
      <c r="AF187" s="27">
        <f>(1/(2*LOG(3.7*$I187/'Calculation Constants'!$B$4*1000)))^2</f>
        <v>1.1575055557914658E-2</v>
      </c>
      <c r="AG187" s="19">
        <f t="shared" si="66"/>
        <v>1.6876908272744866</v>
      </c>
      <c r="AH187" s="19">
        <f>IF($H187&gt;0,'Calculation Constants'!$B$9*Hydraulics!$K187^2/2/9.81/MAX($F$4:$F$263)*$H187,"")</f>
        <v>7.5705987075825154E-2</v>
      </c>
      <c r="AI187" s="19">
        <f t="shared" si="76"/>
        <v>1.7633968143503118</v>
      </c>
      <c r="AJ187" s="19">
        <f t="shared" si="67"/>
        <v>0</v>
      </c>
      <c r="AK187" s="19">
        <f t="shared" si="77"/>
        <v>71.842669346046705</v>
      </c>
      <c r="AL187" s="23">
        <f t="shared" si="68"/>
        <v>1120.1086693460468</v>
      </c>
      <c r="AM187" s="22">
        <f>(1/(2*LOG(3.7*($I187-0.008)/'Calculation Constants'!$B$5*1000)))^2</f>
        <v>1.4709705891825043E-2</v>
      </c>
      <c r="AN187" s="19">
        <f t="shared" si="78"/>
        <v>2.1543104841910781</v>
      </c>
      <c r="AO187" s="19">
        <f>IF($H187&gt;0,'Calculation Constants'!$B$9*Hydraulics!$K187^2/2/9.81/MAX($F$4:$F$263)*$H187,"")</f>
        <v>7.5705987075825154E-2</v>
      </c>
      <c r="AP187" s="19">
        <f t="shared" si="79"/>
        <v>2.2300164712669033</v>
      </c>
      <c r="AQ187" s="19">
        <f t="shared" si="69"/>
        <v>0</v>
      </c>
      <c r="AR187" s="19">
        <f t="shared" si="80"/>
        <v>55.401024353433058</v>
      </c>
      <c r="AS187" s="23">
        <f t="shared" si="70"/>
        <v>1103.6670243534331</v>
      </c>
    </row>
    <row r="188" spans="5:45">
      <c r="E188" s="35" t="str">
        <f t="shared" si="56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1"/>
        <v>2</v>
      </c>
      <c r="I188" s="19">
        <v>1.8</v>
      </c>
      <c r="J188" s="36">
        <f>'Flow Rate Calculations'!$B$7</f>
        <v>4.0831050228310497</v>
      </c>
      <c r="K188" s="36">
        <f t="shared" si="71"/>
        <v>1.6045588828318709</v>
      </c>
      <c r="L188" s="37">
        <f>$I188*$K188/'Calculation Constants'!$B$7</f>
        <v>2555934.503625989</v>
      </c>
      <c r="M188" s="37" t="str">
        <f t="shared" si="57"/>
        <v>Greater Dynamic Pressures</v>
      </c>
      <c r="N188" s="23">
        <f t="shared" si="72"/>
        <v>93.204298199860659</v>
      </c>
      <c r="O188" s="57">
        <f t="shared" si="58"/>
        <v>87.486469080403367</v>
      </c>
      <c r="P188" s="66">
        <f>MAX(I188*1000/'Calculation Constants'!$B$14,O188*10*I188*1000/2/('Calculation Constants'!$B$12*1000*'Calculation Constants'!$B$13))</f>
        <v>11.25</v>
      </c>
      <c r="Q188" s="68">
        <f t="shared" si="59"/>
        <v>992548.40161508287</v>
      </c>
      <c r="R188" s="27">
        <f>(1/(2*LOG(3.7*$I188/'Calculation Constants'!$B$2*1000)))^2</f>
        <v>8.7463077071963571E-3</v>
      </c>
      <c r="S188" s="19">
        <f t="shared" si="73"/>
        <v>1.2752477269849725</v>
      </c>
      <c r="T188" s="19">
        <f>IF($H188&gt;0,'Calculation Constants'!$B$9*Hydraulics!$K188^2/2/9.81/MAX($F$4:$F$263)*$H188,"")</f>
        <v>7.5705987075825154E-2</v>
      </c>
      <c r="U188" s="19">
        <f t="shared" si="74"/>
        <v>1.3509537140607977</v>
      </c>
      <c r="V188" s="19">
        <f t="shared" si="60"/>
        <v>0</v>
      </c>
      <c r="W188" s="19">
        <f t="shared" si="61"/>
        <v>93.204298199860659</v>
      </c>
      <c r="X188" s="23">
        <f t="shared" si="62"/>
        <v>1133.3762981998607</v>
      </c>
      <c r="Y188" s="22">
        <f>(1/(2*LOG(3.7*$I188/'Calculation Constants'!$B$3*1000)))^2</f>
        <v>9.8211436332891755E-3</v>
      </c>
      <c r="Z188" s="19">
        <f t="shared" si="63"/>
        <v>1.431963236834217</v>
      </c>
      <c r="AA188" s="19">
        <f>IF($H188&gt;0,'Calculation Constants'!$B$9*Hydraulics!$K188^2/2/9.81/MAX($F$4:$F$263)*$H188,"")</f>
        <v>7.5705987075825154E-2</v>
      </c>
      <c r="AB188" s="19">
        <f t="shared" si="82"/>
        <v>1.5076692239100422</v>
      </c>
      <c r="AC188" s="19">
        <f t="shared" si="64"/>
        <v>0</v>
      </c>
      <c r="AD188" s="19">
        <f t="shared" si="75"/>
        <v>87.486469080403367</v>
      </c>
      <c r="AE188" s="23">
        <f t="shared" si="65"/>
        <v>1127.6584690804034</v>
      </c>
      <c r="AF188" s="27">
        <f>(1/(2*LOG(3.7*$I188/'Calculation Constants'!$B$4*1000)))^2</f>
        <v>1.1575055557914658E-2</v>
      </c>
      <c r="AG188" s="19">
        <f t="shared" si="66"/>
        <v>1.6876908272744866</v>
      </c>
      <c r="AH188" s="19">
        <f>IF($H188&gt;0,'Calculation Constants'!$B$9*Hydraulics!$K188^2/2/9.81/MAX($F$4:$F$263)*$H188,"")</f>
        <v>7.5705987075825154E-2</v>
      </c>
      <c r="AI188" s="19">
        <f t="shared" si="76"/>
        <v>1.7633968143503118</v>
      </c>
      <c r="AJ188" s="19">
        <f t="shared" si="67"/>
        <v>0</v>
      </c>
      <c r="AK188" s="19">
        <f t="shared" si="77"/>
        <v>78.173272531696512</v>
      </c>
      <c r="AL188" s="23">
        <f t="shared" si="68"/>
        <v>1118.3452725316965</v>
      </c>
      <c r="AM188" s="22">
        <f>(1/(2*LOG(3.7*($I188-0.008)/'Calculation Constants'!$B$5*1000)))^2</f>
        <v>1.4709705891825043E-2</v>
      </c>
      <c r="AN188" s="19">
        <f t="shared" si="78"/>
        <v>2.1543104841910781</v>
      </c>
      <c r="AO188" s="19">
        <f>IF($H188&gt;0,'Calculation Constants'!$B$9*Hydraulics!$K188^2/2/9.81/MAX($F$4:$F$263)*$H188,"")</f>
        <v>7.5705987075825154E-2</v>
      </c>
      <c r="AP188" s="19">
        <f t="shared" si="79"/>
        <v>2.2300164712669033</v>
      </c>
      <c r="AQ188" s="19">
        <f t="shared" si="69"/>
        <v>0</v>
      </c>
      <c r="AR188" s="19">
        <f t="shared" si="80"/>
        <v>61.265007882166174</v>
      </c>
      <c r="AS188" s="23">
        <f t="shared" si="70"/>
        <v>1101.4370078821662</v>
      </c>
    </row>
    <row r="189" spans="5:45">
      <c r="E189" s="35" t="str">
        <f t="shared" si="56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1"/>
        <v>2</v>
      </c>
      <c r="I189" s="19">
        <v>1.8</v>
      </c>
      <c r="J189" s="36">
        <f>'Flow Rate Calculations'!$B$7</f>
        <v>4.0831050228310497</v>
      </c>
      <c r="K189" s="36">
        <f t="shared" si="71"/>
        <v>1.6045588828318709</v>
      </c>
      <c r="L189" s="37">
        <f>$I189*$K189/'Calculation Constants'!$B$7</f>
        <v>2555934.503625989</v>
      </c>
      <c r="M189" s="37" t="str">
        <f t="shared" si="57"/>
        <v>Greater Dynamic Pressures</v>
      </c>
      <c r="N189" s="23">
        <f t="shared" si="72"/>
        <v>98.542344485799958</v>
      </c>
      <c r="O189" s="57">
        <f t="shared" si="58"/>
        <v>92.667799856493502</v>
      </c>
      <c r="P189" s="66">
        <f>MAX(I189*1000/'Calculation Constants'!$B$14,O189*10*I189*1000/2/('Calculation Constants'!$B$12*1000*'Calculation Constants'!$B$13))</f>
        <v>11.25</v>
      </c>
      <c r="Q189" s="68">
        <f t="shared" si="59"/>
        <v>992548.40161508287</v>
      </c>
      <c r="R189" s="27">
        <f>(1/(2*LOG(3.7*$I189/'Calculation Constants'!$B$2*1000)))^2</f>
        <v>8.7463077071963571E-3</v>
      </c>
      <c r="S189" s="19">
        <f t="shared" si="73"/>
        <v>1.2752477269849725</v>
      </c>
      <c r="T189" s="19">
        <f>IF($H189&gt;0,'Calculation Constants'!$B$9*Hydraulics!$K189^2/2/9.81/MAX($F$4:$F$263)*$H189,"")</f>
        <v>7.5705987075825154E-2</v>
      </c>
      <c r="U189" s="19">
        <f t="shared" si="74"/>
        <v>1.3509537140607977</v>
      </c>
      <c r="V189" s="19">
        <f t="shared" si="60"/>
        <v>0</v>
      </c>
      <c r="W189" s="19">
        <f t="shared" si="61"/>
        <v>98.542344485799958</v>
      </c>
      <c r="X189" s="23">
        <f t="shared" si="62"/>
        <v>1132.0253444857999</v>
      </c>
      <c r="Y189" s="22">
        <f>(1/(2*LOG(3.7*$I189/'Calculation Constants'!$B$3*1000)))^2</f>
        <v>9.8211436332891755E-3</v>
      </c>
      <c r="Z189" s="19">
        <f t="shared" si="63"/>
        <v>1.431963236834217</v>
      </c>
      <c r="AA189" s="19">
        <f>IF($H189&gt;0,'Calculation Constants'!$B$9*Hydraulics!$K189^2/2/9.81/MAX($F$4:$F$263)*$H189,"")</f>
        <v>7.5705987075825154E-2</v>
      </c>
      <c r="AB189" s="19">
        <f t="shared" si="82"/>
        <v>1.5076692239100422</v>
      </c>
      <c r="AC189" s="19">
        <f t="shared" si="64"/>
        <v>0</v>
      </c>
      <c r="AD189" s="19">
        <f t="shared" si="75"/>
        <v>92.667799856493502</v>
      </c>
      <c r="AE189" s="23">
        <f t="shared" si="65"/>
        <v>1126.1507998564934</v>
      </c>
      <c r="AF189" s="27">
        <f>(1/(2*LOG(3.7*$I189/'Calculation Constants'!$B$4*1000)))^2</f>
        <v>1.1575055557914658E-2</v>
      </c>
      <c r="AG189" s="19">
        <f t="shared" si="66"/>
        <v>1.6876908272744866</v>
      </c>
      <c r="AH189" s="19">
        <f>IF($H189&gt;0,'Calculation Constants'!$B$9*Hydraulics!$K189^2/2/9.81/MAX($F$4:$F$263)*$H189,"")</f>
        <v>7.5705987075825154E-2</v>
      </c>
      <c r="AI189" s="19">
        <f t="shared" si="76"/>
        <v>1.7633968143503118</v>
      </c>
      <c r="AJ189" s="19">
        <f t="shared" si="67"/>
        <v>0</v>
      </c>
      <c r="AK189" s="19">
        <f t="shared" si="77"/>
        <v>83.098875717346345</v>
      </c>
      <c r="AL189" s="23">
        <f t="shared" si="68"/>
        <v>1116.5818757173463</v>
      </c>
      <c r="AM189" s="22">
        <f>(1/(2*LOG(3.7*($I189-0.008)/'Calculation Constants'!$B$5*1000)))^2</f>
        <v>1.4709705891825043E-2</v>
      </c>
      <c r="AN189" s="19">
        <f t="shared" si="78"/>
        <v>2.1543104841910781</v>
      </c>
      <c r="AO189" s="19">
        <f>IF($H189&gt;0,'Calculation Constants'!$B$9*Hydraulics!$K189^2/2/9.81/MAX($F$4:$F$263)*$H189,"")</f>
        <v>7.5705987075825154E-2</v>
      </c>
      <c r="AP189" s="19">
        <f t="shared" si="79"/>
        <v>2.2300164712669033</v>
      </c>
      <c r="AQ189" s="19">
        <f t="shared" si="69"/>
        <v>0</v>
      </c>
      <c r="AR189" s="19">
        <f t="shared" si="80"/>
        <v>65.723991410899316</v>
      </c>
      <c r="AS189" s="23">
        <f t="shared" si="70"/>
        <v>1099.2069914108993</v>
      </c>
    </row>
    <row r="190" spans="5:45">
      <c r="E190" s="35" t="str">
        <f t="shared" si="56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1"/>
        <v>2</v>
      </c>
      <c r="I190" s="19">
        <v>1.8</v>
      </c>
      <c r="J190" s="36">
        <f>'Flow Rate Calculations'!$B$7</f>
        <v>4.0831050228310497</v>
      </c>
      <c r="K190" s="36">
        <f t="shared" si="71"/>
        <v>1.6045588828318709</v>
      </c>
      <c r="L190" s="37">
        <f>$I190*$K190/'Calculation Constants'!$B$7</f>
        <v>2555934.503625989</v>
      </c>
      <c r="M190" s="37" t="str">
        <f t="shared" si="57"/>
        <v>Greater Dynamic Pressures</v>
      </c>
      <c r="N190" s="23">
        <f t="shared" si="72"/>
        <v>99.724390771739081</v>
      </c>
      <c r="O190" s="57">
        <f t="shared" si="58"/>
        <v>93.693130632583461</v>
      </c>
      <c r="P190" s="66">
        <f>MAX(I190*1000/'Calculation Constants'!$B$14,O190*10*I190*1000/2/('Calculation Constants'!$B$12*1000*'Calculation Constants'!$B$13))</f>
        <v>11.25</v>
      </c>
      <c r="Q190" s="68">
        <f t="shared" si="59"/>
        <v>992548.40161508287</v>
      </c>
      <c r="R190" s="27">
        <f>(1/(2*LOG(3.7*$I190/'Calculation Constants'!$B$2*1000)))^2</f>
        <v>8.7463077071963571E-3</v>
      </c>
      <c r="S190" s="19">
        <f t="shared" si="73"/>
        <v>1.2752477269849725</v>
      </c>
      <c r="T190" s="19">
        <f>IF($H190&gt;0,'Calculation Constants'!$B$9*Hydraulics!$K190^2/2/9.81/MAX($F$4:$F$263)*$H190,"")</f>
        <v>7.5705987075825154E-2</v>
      </c>
      <c r="U190" s="19">
        <f t="shared" si="74"/>
        <v>1.3509537140607977</v>
      </c>
      <c r="V190" s="19">
        <f t="shared" si="60"/>
        <v>0</v>
      </c>
      <c r="W190" s="19">
        <f t="shared" si="61"/>
        <v>99.724390771739081</v>
      </c>
      <c r="X190" s="23">
        <f t="shared" si="62"/>
        <v>1130.6743907717391</v>
      </c>
      <c r="Y190" s="22">
        <f>(1/(2*LOG(3.7*$I190/'Calculation Constants'!$B$3*1000)))^2</f>
        <v>9.8211436332891755E-3</v>
      </c>
      <c r="Z190" s="19">
        <f t="shared" si="63"/>
        <v>1.431963236834217</v>
      </c>
      <c r="AA190" s="19">
        <f>IF($H190&gt;0,'Calculation Constants'!$B$9*Hydraulics!$K190^2/2/9.81/MAX($F$4:$F$263)*$H190,"")</f>
        <v>7.5705987075825154E-2</v>
      </c>
      <c r="AB190" s="19">
        <f t="shared" si="82"/>
        <v>1.5076692239100422</v>
      </c>
      <c r="AC190" s="19">
        <f t="shared" si="64"/>
        <v>0</v>
      </c>
      <c r="AD190" s="19">
        <f t="shared" si="75"/>
        <v>93.693130632583461</v>
      </c>
      <c r="AE190" s="23">
        <f t="shared" si="65"/>
        <v>1124.6431306325835</v>
      </c>
      <c r="AF190" s="27">
        <f>(1/(2*LOG(3.7*$I190/'Calculation Constants'!$B$4*1000)))^2</f>
        <v>1.1575055557914658E-2</v>
      </c>
      <c r="AG190" s="19">
        <f t="shared" si="66"/>
        <v>1.6876908272744866</v>
      </c>
      <c r="AH190" s="19">
        <f>IF($H190&gt;0,'Calculation Constants'!$B$9*Hydraulics!$K190^2/2/9.81/MAX($F$4:$F$263)*$H190,"")</f>
        <v>7.5705987075825154E-2</v>
      </c>
      <c r="AI190" s="19">
        <f t="shared" si="76"/>
        <v>1.7633968143503118</v>
      </c>
      <c r="AJ190" s="19">
        <f t="shared" si="67"/>
        <v>0</v>
      </c>
      <c r="AK190" s="19">
        <f t="shared" si="77"/>
        <v>83.868478902996003</v>
      </c>
      <c r="AL190" s="23">
        <f t="shared" si="68"/>
        <v>1114.818478902996</v>
      </c>
      <c r="AM190" s="22">
        <f>(1/(2*LOG(3.7*($I190-0.008)/'Calculation Constants'!$B$5*1000)))^2</f>
        <v>1.4709705891825043E-2</v>
      </c>
      <c r="AN190" s="19">
        <f t="shared" si="78"/>
        <v>2.1543104841910781</v>
      </c>
      <c r="AO190" s="19">
        <f>IF($H190&gt;0,'Calculation Constants'!$B$9*Hydraulics!$K190^2/2/9.81/MAX($F$4:$F$263)*$H190,"")</f>
        <v>7.5705987075825154E-2</v>
      </c>
      <c r="AP190" s="19">
        <f t="shared" si="79"/>
        <v>2.2300164712669033</v>
      </c>
      <c r="AQ190" s="19">
        <f t="shared" si="69"/>
        <v>0</v>
      </c>
      <c r="AR190" s="19">
        <f t="shared" si="80"/>
        <v>66.026974939632282</v>
      </c>
      <c r="AS190" s="23">
        <f t="shared" si="70"/>
        <v>1096.9769749396323</v>
      </c>
    </row>
    <row r="191" spans="5:45">
      <c r="E191" s="35" t="str">
        <f t="shared" si="56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1"/>
        <v>2</v>
      </c>
      <c r="I191" s="19">
        <v>1.8</v>
      </c>
      <c r="J191" s="36">
        <f>'Flow Rate Calculations'!$B$7</f>
        <v>4.0831050228310497</v>
      </c>
      <c r="K191" s="36">
        <f t="shared" si="71"/>
        <v>1.6045588828318709</v>
      </c>
      <c r="L191" s="37">
        <f>$I191*$K191/'Calculation Constants'!$B$7</f>
        <v>2555934.503625989</v>
      </c>
      <c r="M191" s="37" t="str">
        <f t="shared" si="57"/>
        <v>Greater Dynamic Pressures</v>
      </c>
      <c r="N191" s="23">
        <f t="shared" si="72"/>
        <v>97.060437057678428</v>
      </c>
      <c r="O191" s="57">
        <f t="shared" si="58"/>
        <v>90.872461408673644</v>
      </c>
      <c r="P191" s="66">
        <f>MAX(I191*1000/'Calculation Constants'!$B$14,O191*10*I191*1000/2/('Calculation Constants'!$B$12*1000*'Calculation Constants'!$B$13))</f>
        <v>11.25</v>
      </c>
      <c r="Q191" s="68">
        <f t="shared" si="59"/>
        <v>992548.40161508287</v>
      </c>
      <c r="R191" s="27">
        <f>(1/(2*LOG(3.7*$I191/'Calculation Constants'!$B$2*1000)))^2</f>
        <v>8.7463077071963571E-3</v>
      </c>
      <c r="S191" s="19">
        <f t="shared" si="73"/>
        <v>1.2752477269849725</v>
      </c>
      <c r="T191" s="19">
        <f>IF($H191&gt;0,'Calculation Constants'!$B$9*Hydraulics!$K191^2/2/9.81/MAX($F$4:$F$263)*$H191,"")</f>
        <v>7.5705987075825154E-2</v>
      </c>
      <c r="U191" s="19">
        <f t="shared" si="74"/>
        <v>1.3509537140607977</v>
      </c>
      <c r="V191" s="19">
        <f t="shared" si="60"/>
        <v>0</v>
      </c>
      <c r="W191" s="19">
        <f t="shared" si="61"/>
        <v>97.060437057678428</v>
      </c>
      <c r="X191" s="23">
        <f t="shared" si="62"/>
        <v>1129.3234370576783</v>
      </c>
      <c r="Y191" s="22">
        <f>(1/(2*LOG(3.7*$I191/'Calculation Constants'!$B$3*1000)))^2</f>
        <v>9.8211436332891755E-3</v>
      </c>
      <c r="Z191" s="19">
        <f t="shared" si="63"/>
        <v>1.431963236834217</v>
      </c>
      <c r="AA191" s="19">
        <f>IF($H191&gt;0,'Calculation Constants'!$B$9*Hydraulics!$K191^2/2/9.81/MAX($F$4:$F$263)*$H191,"")</f>
        <v>7.5705987075825154E-2</v>
      </c>
      <c r="AB191" s="19">
        <f t="shared" si="82"/>
        <v>1.5076692239100422</v>
      </c>
      <c r="AC191" s="19">
        <f t="shared" si="64"/>
        <v>0</v>
      </c>
      <c r="AD191" s="19">
        <f t="shared" si="75"/>
        <v>90.872461408673644</v>
      </c>
      <c r="AE191" s="23">
        <f t="shared" si="65"/>
        <v>1123.1354614086736</v>
      </c>
      <c r="AF191" s="27">
        <f>(1/(2*LOG(3.7*$I191/'Calculation Constants'!$B$4*1000)))^2</f>
        <v>1.1575055557914658E-2</v>
      </c>
      <c r="AG191" s="19">
        <f t="shared" si="66"/>
        <v>1.6876908272744866</v>
      </c>
      <c r="AH191" s="19">
        <f>IF($H191&gt;0,'Calculation Constants'!$B$9*Hydraulics!$K191^2/2/9.81/MAX($F$4:$F$263)*$H191,"")</f>
        <v>7.5705987075825154E-2</v>
      </c>
      <c r="AI191" s="19">
        <f t="shared" si="76"/>
        <v>1.7633968143503118</v>
      </c>
      <c r="AJ191" s="19">
        <f t="shared" si="67"/>
        <v>0</v>
      </c>
      <c r="AK191" s="19">
        <f t="shared" si="77"/>
        <v>80.792082088645884</v>
      </c>
      <c r="AL191" s="23">
        <f t="shared" si="68"/>
        <v>1113.0550820886458</v>
      </c>
      <c r="AM191" s="22">
        <f>(1/(2*LOG(3.7*($I191-0.008)/'Calculation Constants'!$B$5*1000)))^2</f>
        <v>1.4709705891825043E-2</v>
      </c>
      <c r="AN191" s="19">
        <f t="shared" si="78"/>
        <v>2.1543104841910781</v>
      </c>
      <c r="AO191" s="19">
        <f>IF($H191&gt;0,'Calculation Constants'!$B$9*Hydraulics!$K191^2/2/9.81/MAX($F$4:$F$263)*$H191,"")</f>
        <v>7.5705987075825154E-2</v>
      </c>
      <c r="AP191" s="19">
        <f t="shared" si="79"/>
        <v>2.2300164712669033</v>
      </c>
      <c r="AQ191" s="19">
        <f t="shared" si="69"/>
        <v>0</v>
      </c>
      <c r="AR191" s="19">
        <f t="shared" si="80"/>
        <v>62.483958468365472</v>
      </c>
      <c r="AS191" s="23">
        <f t="shared" si="70"/>
        <v>1094.7469584683654</v>
      </c>
    </row>
    <row r="192" spans="5:45">
      <c r="E192" s="35" t="str">
        <f t="shared" si="56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1"/>
        <v>2</v>
      </c>
      <c r="I192" s="19">
        <v>1.8</v>
      </c>
      <c r="J192" s="36">
        <f>'Flow Rate Calculations'!$B$7</f>
        <v>4.0831050228310497</v>
      </c>
      <c r="K192" s="36">
        <f t="shared" si="71"/>
        <v>1.6045588828318709</v>
      </c>
      <c r="L192" s="37">
        <f>$I192*$K192/'Calculation Constants'!$B$7</f>
        <v>2555934.503625989</v>
      </c>
      <c r="M192" s="37" t="str">
        <f t="shared" si="57"/>
        <v>Greater Dynamic Pressures</v>
      </c>
      <c r="N192" s="23">
        <f t="shared" si="72"/>
        <v>96.581483343617492</v>
      </c>
      <c r="O192" s="57">
        <f t="shared" si="58"/>
        <v>90.236792184763544</v>
      </c>
      <c r="P192" s="66">
        <f>MAX(I192*1000/'Calculation Constants'!$B$14,O192*10*I192*1000/2/('Calculation Constants'!$B$12*1000*'Calculation Constants'!$B$13))</f>
        <v>11.25</v>
      </c>
      <c r="Q192" s="68">
        <f t="shared" si="59"/>
        <v>992548.40161508287</v>
      </c>
      <c r="R192" s="27">
        <f>(1/(2*LOG(3.7*$I192/'Calculation Constants'!$B$2*1000)))^2</f>
        <v>8.7463077071963571E-3</v>
      </c>
      <c r="S192" s="19">
        <f t="shared" si="73"/>
        <v>1.2752477269849725</v>
      </c>
      <c r="T192" s="19">
        <f>IF($H192&gt;0,'Calculation Constants'!$B$9*Hydraulics!$K192^2/2/9.81/MAX($F$4:$F$263)*$H192,"")</f>
        <v>7.5705987075825154E-2</v>
      </c>
      <c r="U192" s="19">
        <f t="shared" si="74"/>
        <v>1.3509537140607977</v>
      </c>
      <c r="V192" s="19">
        <f t="shared" si="60"/>
        <v>0</v>
      </c>
      <c r="W192" s="19">
        <f t="shared" si="61"/>
        <v>96.581483343617492</v>
      </c>
      <c r="X192" s="23">
        <f t="shared" si="62"/>
        <v>1127.9724833436176</v>
      </c>
      <c r="Y192" s="22">
        <f>(1/(2*LOG(3.7*$I192/'Calculation Constants'!$B$3*1000)))^2</f>
        <v>9.8211436332891755E-3</v>
      </c>
      <c r="Z192" s="19">
        <f t="shared" si="63"/>
        <v>1.431963236834217</v>
      </c>
      <c r="AA192" s="19">
        <f>IF($H192&gt;0,'Calculation Constants'!$B$9*Hydraulics!$K192^2/2/9.81/MAX($F$4:$F$263)*$H192,"")</f>
        <v>7.5705987075825154E-2</v>
      </c>
      <c r="AB192" s="19">
        <f t="shared" si="82"/>
        <v>1.5076692239100422</v>
      </c>
      <c r="AC192" s="19">
        <f t="shared" si="64"/>
        <v>0</v>
      </c>
      <c r="AD192" s="19">
        <f t="shared" si="75"/>
        <v>90.236792184763544</v>
      </c>
      <c r="AE192" s="23">
        <f t="shared" si="65"/>
        <v>1121.6277921847636</v>
      </c>
      <c r="AF192" s="27">
        <f>(1/(2*LOG(3.7*$I192/'Calculation Constants'!$B$4*1000)))^2</f>
        <v>1.1575055557914658E-2</v>
      </c>
      <c r="AG192" s="19">
        <f t="shared" si="66"/>
        <v>1.6876908272744866</v>
      </c>
      <c r="AH192" s="19">
        <f>IF($H192&gt;0,'Calculation Constants'!$B$9*Hydraulics!$K192^2/2/9.81/MAX($F$4:$F$263)*$H192,"")</f>
        <v>7.5705987075825154E-2</v>
      </c>
      <c r="AI192" s="19">
        <f t="shared" si="76"/>
        <v>1.7633968143503118</v>
      </c>
      <c r="AJ192" s="19">
        <f t="shared" si="67"/>
        <v>0</v>
      </c>
      <c r="AK192" s="19">
        <f t="shared" si="77"/>
        <v>79.900685274295483</v>
      </c>
      <c r="AL192" s="23">
        <f t="shared" si="68"/>
        <v>1111.2916852742956</v>
      </c>
      <c r="AM192" s="22">
        <f>(1/(2*LOG(3.7*($I192-0.008)/'Calculation Constants'!$B$5*1000)))^2</f>
        <v>1.4709705891825043E-2</v>
      </c>
      <c r="AN192" s="19">
        <f t="shared" si="78"/>
        <v>2.1543104841910781</v>
      </c>
      <c r="AO192" s="19">
        <f>IF($H192&gt;0,'Calculation Constants'!$B$9*Hydraulics!$K192^2/2/9.81/MAX($F$4:$F$263)*$H192,"")</f>
        <v>7.5705987075825154E-2</v>
      </c>
      <c r="AP192" s="19">
        <f t="shared" si="79"/>
        <v>2.2300164712669033</v>
      </c>
      <c r="AQ192" s="19">
        <f t="shared" si="69"/>
        <v>0</v>
      </c>
      <c r="AR192" s="19">
        <f t="shared" si="80"/>
        <v>61.12594199709838</v>
      </c>
      <c r="AS192" s="23">
        <f t="shared" si="70"/>
        <v>1092.5169419970985</v>
      </c>
    </row>
    <row r="193" spans="5:45">
      <c r="E193" s="35" t="str">
        <f t="shared" si="56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1"/>
        <v>2</v>
      </c>
      <c r="I193" s="19">
        <v>1.8</v>
      </c>
      <c r="J193" s="36">
        <f>'Flow Rate Calculations'!$B$7</f>
        <v>4.0831050228310497</v>
      </c>
      <c r="K193" s="36">
        <f t="shared" si="71"/>
        <v>1.6045588828318709</v>
      </c>
      <c r="L193" s="37">
        <f>$I193*$K193/'Calculation Constants'!$B$7</f>
        <v>2555934.503625989</v>
      </c>
      <c r="M193" s="37" t="str">
        <f t="shared" si="57"/>
        <v>Greater Dynamic Pressures</v>
      </c>
      <c r="N193" s="23">
        <f t="shared" si="72"/>
        <v>100.83052962955685</v>
      </c>
      <c r="O193" s="57">
        <f t="shared" si="58"/>
        <v>94.329122960853738</v>
      </c>
      <c r="P193" s="66">
        <f>MAX(I193*1000/'Calculation Constants'!$B$14,O193*10*I193*1000/2/('Calculation Constants'!$B$12*1000*'Calculation Constants'!$B$13))</f>
        <v>11.25</v>
      </c>
      <c r="Q193" s="68">
        <f t="shared" si="59"/>
        <v>992548.40161508287</v>
      </c>
      <c r="R193" s="27">
        <f>(1/(2*LOG(3.7*$I193/'Calculation Constants'!$B$2*1000)))^2</f>
        <v>8.7463077071963571E-3</v>
      </c>
      <c r="S193" s="19">
        <f t="shared" si="73"/>
        <v>1.2752477269849725</v>
      </c>
      <c r="T193" s="19">
        <f>IF($H193&gt;0,'Calculation Constants'!$B$9*Hydraulics!$K193^2/2/9.81/MAX($F$4:$F$263)*$H193,"")</f>
        <v>7.5705987075825154E-2</v>
      </c>
      <c r="U193" s="19">
        <f t="shared" si="74"/>
        <v>1.3509537140607977</v>
      </c>
      <c r="V193" s="19">
        <f t="shared" si="60"/>
        <v>0</v>
      </c>
      <c r="W193" s="19">
        <f t="shared" si="61"/>
        <v>100.83052962955685</v>
      </c>
      <c r="X193" s="23">
        <f t="shared" si="62"/>
        <v>1126.6215296295568</v>
      </c>
      <c r="Y193" s="22">
        <f>(1/(2*LOG(3.7*$I193/'Calculation Constants'!$B$3*1000)))^2</f>
        <v>9.8211436332891755E-3</v>
      </c>
      <c r="Z193" s="19">
        <f t="shared" si="63"/>
        <v>1.431963236834217</v>
      </c>
      <c r="AA193" s="19">
        <f>IF($H193&gt;0,'Calculation Constants'!$B$9*Hydraulics!$K193^2/2/9.81/MAX($F$4:$F$263)*$H193,"")</f>
        <v>7.5705987075825154E-2</v>
      </c>
      <c r="AB193" s="19">
        <f t="shared" si="82"/>
        <v>1.5076692239100422</v>
      </c>
      <c r="AC193" s="19">
        <f t="shared" si="64"/>
        <v>0</v>
      </c>
      <c r="AD193" s="19">
        <f t="shared" si="75"/>
        <v>94.329122960853738</v>
      </c>
      <c r="AE193" s="23">
        <f t="shared" si="65"/>
        <v>1120.1201229608537</v>
      </c>
      <c r="AF193" s="27">
        <f>(1/(2*LOG(3.7*$I193/'Calculation Constants'!$B$4*1000)))^2</f>
        <v>1.1575055557914658E-2</v>
      </c>
      <c r="AG193" s="19">
        <f t="shared" si="66"/>
        <v>1.6876908272744866</v>
      </c>
      <c r="AH193" s="19">
        <f>IF($H193&gt;0,'Calculation Constants'!$B$9*Hydraulics!$K193^2/2/9.81/MAX($F$4:$F$263)*$H193,"")</f>
        <v>7.5705987075825154E-2</v>
      </c>
      <c r="AI193" s="19">
        <f t="shared" si="76"/>
        <v>1.7633968143503118</v>
      </c>
      <c r="AJ193" s="19">
        <f t="shared" si="67"/>
        <v>0</v>
      </c>
      <c r="AK193" s="19">
        <f t="shared" si="77"/>
        <v>83.737288459945376</v>
      </c>
      <c r="AL193" s="23">
        <f t="shared" si="68"/>
        <v>1109.5282884599453</v>
      </c>
      <c r="AM193" s="22">
        <f>(1/(2*LOG(3.7*($I193-0.008)/'Calculation Constants'!$B$5*1000)))^2</f>
        <v>1.4709705891825043E-2</v>
      </c>
      <c r="AN193" s="19">
        <f t="shared" si="78"/>
        <v>2.1543104841910781</v>
      </c>
      <c r="AO193" s="19">
        <f>IF($H193&gt;0,'Calculation Constants'!$B$9*Hydraulics!$K193^2/2/9.81/MAX($F$4:$F$263)*$H193,"")</f>
        <v>7.5705987075825154E-2</v>
      </c>
      <c r="AP193" s="19">
        <f t="shared" si="79"/>
        <v>2.2300164712669033</v>
      </c>
      <c r="AQ193" s="19">
        <f t="shared" si="69"/>
        <v>0</v>
      </c>
      <c r="AR193" s="19">
        <f t="shared" si="80"/>
        <v>64.495925525831581</v>
      </c>
      <c r="AS193" s="23">
        <f t="shared" si="70"/>
        <v>1090.2869255258315</v>
      </c>
    </row>
    <row r="194" spans="5:45">
      <c r="E194" s="35" t="str">
        <f t="shared" si="56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1"/>
        <v>2</v>
      </c>
      <c r="I194" s="19">
        <v>1.8</v>
      </c>
      <c r="J194" s="36">
        <f>'Flow Rate Calculations'!$B$7</f>
        <v>4.0831050228310497</v>
      </c>
      <c r="K194" s="36">
        <f t="shared" si="71"/>
        <v>1.6045588828318709</v>
      </c>
      <c r="L194" s="37">
        <f>$I194*$K194/'Calculation Constants'!$B$7</f>
        <v>2555934.503625989</v>
      </c>
      <c r="M194" s="37" t="str">
        <f t="shared" si="57"/>
        <v>Greater Dynamic Pressures</v>
      </c>
      <c r="N194" s="23">
        <f t="shared" si="72"/>
        <v>104.35957591549607</v>
      </c>
      <c r="O194" s="57">
        <f t="shared" si="58"/>
        <v>97.70145373694379</v>
      </c>
      <c r="P194" s="66">
        <f>MAX(I194*1000/'Calculation Constants'!$B$14,O194*10*I194*1000/2/('Calculation Constants'!$B$12*1000*'Calculation Constants'!$B$13))</f>
        <v>11.25</v>
      </c>
      <c r="Q194" s="68">
        <f t="shared" si="59"/>
        <v>992548.40161508287</v>
      </c>
      <c r="R194" s="27">
        <f>(1/(2*LOG(3.7*$I194/'Calculation Constants'!$B$2*1000)))^2</f>
        <v>8.7463077071963571E-3</v>
      </c>
      <c r="S194" s="19">
        <f t="shared" si="73"/>
        <v>1.2752477269849725</v>
      </c>
      <c r="T194" s="19">
        <f>IF($H194&gt;0,'Calculation Constants'!$B$9*Hydraulics!$K194^2/2/9.81/MAX($F$4:$F$263)*$H194,"")</f>
        <v>7.5705987075825154E-2</v>
      </c>
      <c r="U194" s="19">
        <f t="shared" si="74"/>
        <v>1.3509537140607977</v>
      </c>
      <c r="V194" s="19">
        <f t="shared" si="60"/>
        <v>0</v>
      </c>
      <c r="W194" s="19">
        <f t="shared" si="61"/>
        <v>104.35957591549607</v>
      </c>
      <c r="X194" s="23">
        <f t="shared" si="62"/>
        <v>1125.270575915496</v>
      </c>
      <c r="Y194" s="22">
        <f>(1/(2*LOG(3.7*$I194/'Calculation Constants'!$B$3*1000)))^2</f>
        <v>9.8211436332891755E-3</v>
      </c>
      <c r="Z194" s="19">
        <f t="shared" si="63"/>
        <v>1.431963236834217</v>
      </c>
      <c r="AA194" s="19">
        <f>IF($H194&gt;0,'Calculation Constants'!$B$9*Hydraulics!$K194^2/2/9.81/MAX($F$4:$F$263)*$H194,"")</f>
        <v>7.5705987075825154E-2</v>
      </c>
      <c r="AB194" s="19">
        <f t="shared" si="82"/>
        <v>1.5076692239100422</v>
      </c>
      <c r="AC194" s="19">
        <f t="shared" si="64"/>
        <v>0</v>
      </c>
      <c r="AD194" s="19">
        <f t="shared" si="75"/>
        <v>97.70145373694379</v>
      </c>
      <c r="AE194" s="23">
        <f t="shared" si="65"/>
        <v>1118.6124537369437</v>
      </c>
      <c r="AF194" s="27">
        <f>(1/(2*LOG(3.7*$I194/'Calculation Constants'!$B$4*1000)))^2</f>
        <v>1.1575055557914658E-2</v>
      </c>
      <c r="AG194" s="19">
        <f t="shared" si="66"/>
        <v>1.6876908272744866</v>
      </c>
      <c r="AH194" s="19">
        <f>IF($H194&gt;0,'Calculation Constants'!$B$9*Hydraulics!$K194^2/2/9.81/MAX($F$4:$F$263)*$H194,"")</f>
        <v>7.5705987075825154E-2</v>
      </c>
      <c r="AI194" s="19">
        <f t="shared" si="76"/>
        <v>1.7633968143503118</v>
      </c>
      <c r="AJ194" s="19">
        <f t="shared" si="67"/>
        <v>0</v>
      </c>
      <c r="AK194" s="19">
        <f t="shared" si="77"/>
        <v>86.853891645595127</v>
      </c>
      <c r="AL194" s="23">
        <f t="shared" si="68"/>
        <v>1107.7648916455951</v>
      </c>
      <c r="AM194" s="22">
        <f>(1/(2*LOG(3.7*($I194-0.008)/'Calculation Constants'!$B$5*1000)))^2</f>
        <v>1.4709705891825043E-2</v>
      </c>
      <c r="AN194" s="19">
        <f t="shared" si="78"/>
        <v>2.1543104841910781</v>
      </c>
      <c r="AO194" s="19">
        <f>IF($H194&gt;0,'Calculation Constants'!$B$9*Hydraulics!$K194^2/2/9.81/MAX($F$4:$F$263)*$H194,"")</f>
        <v>7.5705987075825154E-2</v>
      </c>
      <c r="AP194" s="19">
        <f t="shared" si="79"/>
        <v>2.2300164712669033</v>
      </c>
      <c r="AQ194" s="19">
        <f t="shared" si="69"/>
        <v>0</v>
      </c>
      <c r="AR194" s="19">
        <f t="shared" si="80"/>
        <v>67.14590905456464</v>
      </c>
      <c r="AS194" s="23">
        <f t="shared" si="70"/>
        <v>1088.0569090545646</v>
      </c>
    </row>
    <row r="195" spans="5:45">
      <c r="E195" s="35" t="str">
        <f t="shared" si="56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1"/>
        <v>2</v>
      </c>
      <c r="I195" s="19">
        <v>1.8</v>
      </c>
      <c r="J195" s="36">
        <f>'Flow Rate Calculations'!$B$7</f>
        <v>4.0831050228310497</v>
      </c>
      <c r="K195" s="36">
        <f t="shared" si="71"/>
        <v>1.6045588828318709</v>
      </c>
      <c r="L195" s="37">
        <f>$I195*$K195/'Calculation Constants'!$B$7</f>
        <v>2555934.503625989</v>
      </c>
      <c r="M195" s="37" t="str">
        <f t="shared" si="57"/>
        <v>Greater Dynamic Pressures</v>
      </c>
      <c r="N195" s="23">
        <f t="shared" si="72"/>
        <v>108.26962220143525</v>
      </c>
      <c r="O195" s="57">
        <f t="shared" si="58"/>
        <v>101.45478451303381</v>
      </c>
      <c r="P195" s="66">
        <f>MAX(I195*1000/'Calculation Constants'!$B$14,O195*10*I195*1000/2/('Calculation Constants'!$B$12*1000*'Calculation Constants'!$B$13))</f>
        <v>11.25</v>
      </c>
      <c r="Q195" s="68">
        <f t="shared" si="59"/>
        <v>992548.40161508287</v>
      </c>
      <c r="R195" s="27">
        <f>(1/(2*LOG(3.7*$I195/'Calculation Constants'!$B$2*1000)))^2</f>
        <v>8.7463077071963571E-3</v>
      </c>
      <c r="S195" s="19">
        <f t="shared" si="73"/>
        <v>1.2752477269849725</v>
      </c>
      <c r="T195" s="19">
        <f>IF($H195&gt;0,'Calculation Constants'!$B$9*Hydraulics!$K195^2/2/9.81/MAX($F$4:$F$263)*$H195,"")</f>
        <v>7.5705987075825154E-2</v>
      </c>
      <c r="U195" s="19">
        <f t="shared" si="74"/>
        <v>1.3509537140607977</v>
      </c>
      <c r="V195" s="19">
        <f t="shared" si="60"/>
        <v>0</v>
      </c>
      <c r="W195" s="19">
        <f t="shared" si="61"/>
        <v>108.26962220143525</v>
      </c>
      <c r="X195" s="23">
        <f t="shared" si="62"/>
        <v>1123.9196222014352</v>
      </c>
      <c r="Y195" s="22">
        <f>(1/(2*LOG(3.7*$I195/'Calculation Constants'!$B$3*1000)))^2</f>
        <v>9.8211436332891755E-3</v>
      </c>
      <c r="Z195" s="19">
        <f t="shared" si="63"/>
        <v>1.431963236834217</v>
      </c>
      <c r="AA195" s="19">
        <f>IF($H195&gt;0,'Calculation Constants'!$B$9*Hydraulics!$K195^2/2/9.81/MAX($F$4:$F$263)*$H195,"")</f>
        <v>7.5705987075825154E-2</v>
      </c>
      <c r="AB195" s="19">
        <f t="shared" si="82"/>
        <v>1.5076692239100422</v>
      </c>
      <c r="AC195" s="19">
        <f t="shared" si="64"/>
        <v>0</v>
      </c>
      <c r="AD195" s="19">
        <f t="shared" si="75"/>
        <v>101.45478451303381</v>
      </c>
      <c r="AE195" s="23">
        <f t="shared" si="65"/>
        <v>1117.1047845130338</v>
      </c>
      <c r="AF195" s="27">
        <f>(1/(2*LOG(3.7*$I195/'Calculation Constants'!$B$4*1000)))^2</f>
        <v>1.1575055557914658E-2</v>
      </c>
      <c r="AG195" s="19">
        <f t="shared" si="66"/>
        <v>1.6876908272744866</v>
      </c>
      <c r="AH195" s="19">
        <f>IF($H195&gt;0,'Calculation Constants'!$B$9*Hydraulics!$K195^2/2/9.81/MAX($F$4:$F$263)*$H195,"")</f>
        <v>7.5705987075825154E-2</v>
      </c>
      <c r="AI195" s="19">
        <f t="shared" si="76"/>
        <v>1.7633968143503118</v>
      </c>
      <c r="AJ195" s="19">
        <f t="shared" si="67"/>
        <v>0</v>
      </c>
      <c r="AK195" s="19">
        <f t="shared" si="77"/>
        <v>90.35149483124485</v>
      </c>
      <c r="AL195" s="23">
        <f t="shared" si="68"/>
        <v>1106.0014948312448</v>
      </c>
      <c r="AM195" s="22">
        <f>(1/(2*LOG(3.7*($I195-0.008)/'Calculation Constants'!$B$5*1000)))^2</f>
        <v>1.4709705891825043E-2</v>
      </c>
      <c r="AN195" s="19">
        <f t="shared" si="78"/>
        <v>2.1543104841910781</v>
      </c>
      <c r="AO195" s="19">
        <f>IF($H195&gt;0,'Calculation Constants'!$B$9*Hydraulics!$K195^2/2/9.81/MAX($F$4:$F$263)*$H195,"")</f>
        <v>7.5705987075825154E-2</v>
      </c>
      <c r="AP195" s="19">
        <f t="shared" si="79"/>
        <v>2.2300164712669033</v>
      </c>
      <c r="AQ195" s="19">
        <f t="shared" si="69"/>
        <v>0</v>
      </c>
      <c r="AR195" s="19">
        <f t="shared" si="80"/>
        <v>70.176892583297672</v>
      </c>
      <c r="AS195" s="23">
        <f t="shared" si="70"/>
        <v>1085.8268925832976</v>
      </c>
    </row>
    <row r="196" spans="5:45">
      <c r="E196" s="35" t="str">
        <f t="shared" ref="E196:E253" si="83">IF(OR(F196=$B$11,F196=$B$12,F196=$B$13,F196=$B$14,F196=$B$15),"Reservoir",IF(OR(F196=$B$4,F196=$B$5,F196=$B$6),"Pump Station",""))</f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1"/>
        <v>2</v>
      </c>
      <c r="I196" s="19">
        <v>1.8</v>
      </c>
      <c r="J196" s="36">
        <f>'Flow Rate Calculations'!$B$7</f>
        <v>4.0831050228310497</v>
      </c>
      <c r="K196" s="36">
        <f t="shared" si="71"/>
        <v>1.6045588828318709</v>
      </c>
      <c r="L196" s="37">
        <f>$I196*$K196/'Calculation Constants'!$B$7</f>
        <v>2555934.503625989</v>
      </c>
      <c r="M196" s="37" t="str">
        <f t="shared" ref="M196:M263" si="84">IF(X196&gt;VLOOKUP(F196,$B$11:$D$15,2),"Greater Dynamic Pressures",VLOOKUP(F196,$B$11:$C$15,2)-G196)</f>
        <v>Greater Dynamic Pressures</v>
      </c>
      <c r="N196" s="23">
        <f t="shared" si="72"/>
        <v>110.42966848737444</v>
      </c>
      <c r="O196" s="57">
        <f t="shared" ref="O196:O263" si="85">MAX(M196,AD196)</f>
        <v>103.45811528912384</v>
      </c>
      <c r="P196" s="66">
        <f>MAX(I196*1000/'Calculation Constants'!$B$14,O196*10*I196*1000/2/('Calculation Constants'!$B$12*1000*'Calculation Constants'!$B$13))</f>
        <v>11.25</v>
      </c>
      <c r="Q196" s="68">
        <f t="shared" ref="Q196:Q259" si="86">(I196^2*PI()/4-(I196-P196/1000*2)^2*PI()/4)*H196*1000*7850</f>
        <v>992548.40161508287</v>
      </c>
      <c r="R196" s="27">
        <f>(1/(2*LOG(3.7*$I196/'Calculation Constants'!$B$2*1000)))^2</f>
        <v>8.7463077071963571E-3</v>
      </c>
      <c r="S196" s="19">
        <f t="shared" si="73"/>
        <v>1.2752477269849725</v>
      </c>
      <c r="T196" s="19">
        <f>IF($H196&gt;0,'Calculation Constants'!$B$9*Hydraulics!$K196^2/2/9.81/MAX($F$4:$F$263)*$H196,"")</f>
        <v>7.5705987075825154E-2</v>
      </c>
      <c r="U196" s="19">
        <f t="shared" si="74"/>
        <v>1.3509537140607977</v>
      </c>
      <c r="V196" s="19">
        <f t="shared" ref="V196:V263" si="87">IF($F196=$B$4,$D$4,(IF($F196=$B$5,$D$5,IF($F196=$B$6,$D$6,0))))</f>
        <v>0</v>
      </c>
      <c r="W196" s="19">
        <f t="shared" ref="W196:W259" si="88">IF(E196="Reservoir",VLOOKUP(F196,$B$11:$D$15,2)-G196,X196-$G196)</f>
        <v>110.42966848737444</v>
      </c>
      <c r="X196" s="23">
        <f t="shared" ref="X196:X263" si="89">IF($E196="Reservoir",VLOOKUP($F196,$B$11:$D$15,2)+V196,X195-U196+V196)</f>
        <v>1122.5686684873745</v>
      </c>
      <c r="Y196" s="22">
        <f>(1/(2*LOG(3.7*$I196/'Calculation Constants'!$B$3*1000)))^2</f>
        <v>9.8211436332891755E-3</v>
      </c>
      <c r="Z196" s="19">
        <f t="shared" ref="Z196:Z259" si="90">IF($H196&gt;0,Y196*$H196*$K196^2/2/9.81/$I196*1000,"")</f>
        <v>1.431963236834217</v>
      </c>
      <c r="AA196" s="19">
        <f>IF($H196&gt;0,'Calculation Constants'!$B$9*Hydraulics!$K196^2/2/9.81/MAX($F$4:$F$263)*$H196,"")</f>
        <v>7.5705987075825154E-2</v>
      </c>
      <c r="AB196" s="19">
        <f t="shared" si="82"/>
        <v>1.5076692239100422</v>
      </c>
      <c r="AC196" s="19">
        <f t="shared" ref="AC196:AC263" si="91">IF($F196=$B$4,$D$4,(IF($F196=$B$5,$D$5,IF($F196=$B$6,$D$6,0))))</f>
        <v>0</v>
      </c>
      <c r="AD196" s="19">
        <f t="shared" si="75"/>
        <v>103.45811528912384</v>
      </c>
      <c r="AE196" s="23">
        <f t="shared" ref="AE196:AE263" si="92">IF($E196="Reservoir",VLOOKUP($F196,$B$11:$D$15,2)+AC196,AE195-AB196+AC196)</f>
        <v>1115.5971152891238</v>
      </c>
      <c r="AF196" s="27">
        <f>(1/(2*LOG(3.7*$I196/'Calculation Constants'!$B$4*1000)))^2</f>
        <v>1.1575055557914658E-2</v>
      </c>
      <c r="AG196" s="19">
        <f t="shared" ref="AG196:AG259" si="93">IF($H196&gt;0,AF196*$H196*$K196^2/2/9.81/$I196*1000,"")</f>
        <v>1.6876908272744866</v>
      </c>
      <c r="AH196" s="19">
        <f>IF($H196&gt;0,'Calculation Constants'!$B$9*Hydraulics!$K196^2/2/9.81/MAX($F$4:$F$263)*$H196,"")</f>
        <v>7.5705987075825154E-2</v>
      </c>
      <c r="AI196" s="19">
        <f t="shared" si="76"/>
        <v>1.7633968143503118</v>
      </c>
      <c r="AJ196" s="19">
        <f t="shared" ref="AJ196:AJ263" si="94">IF($F196=$B$4,$D$4,(IF($F196=$B$5,$D$5,IF($F196=$B$6,$D$6,0))))</f>
        <v>0</v>
      </c>
      <c r="AK196" s="19">
        <f t="shared" si="77"/>
        <v>92.099098016894573</v>
      </c>
      <c r="AL196" s="23">
        <f t="shared" ref="AL196:AL263" si="95">IF($E196="Reservoir",VLOOKUP($F196,$B$11:$D$15,2)+AJ196,AL195-AI196+AJ196)</f>
        <v>1104.2380980168946</v>
      </c>
      <c r="AM196" s="22">
        <f>(1/(2*LOG(3.7*($I196-0.008)/'Calculation Constants'!$B$5*1000)))^2</f>
        <v>1.4709705891825043E-2</v>
      </c>
      <c r="AN196" s="19">
        <f t="shared" si="78"/>
        <v>2.1543104841910781</v>
      </c>
      <c r="AO196" s="19">
        <f>IF($H196&gt;0,'Calculation Constants'!$B$9*Hydraulics!$K196^2/2/9.81/MAX($F$4:$F$263)*$H196,"")</f>
        <v>7.5705987075825154E-2</v>
      </c>
      <c r="AP196" s="19">
        <f t="shared" si="79"/>
        <v>2.2300164712669033</v>
      </c>
      <c r="AQ196" s="19">
        <f t="shared" ref="AQ196:AQ263" si="96">IF($F196=$B$4,$D$4,(IF($F196=$B$5,$D$5,IF($F196=$B$6,$D$6,0))))</f>
        <v>0</v>
      </c>
      <c r="AR196" s="19">
        <f t="shared" si="80"/>
        <v>71.457876112030704</v>
      </c>
      <c r="AS196" s="23">
        <f t="shared" ref="AS196:AS263" si="97">IF($E196="Reservoir",VLOOKUP($F196,$B$11:$D$15,2)+AQ196,AS195-AP196+AQ196)</f>
        <v>1083.5968761120307</v>
      </c>
    </row>
    <row r="197" spans="5:45">
      <c r="E197" s="35" t="str">
        <f t="shared" si="83"/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1"/>
        <v>2</v>
      </c>
      <c r="I197" s="19">
        <v>1.8</v>
      </c>
      <c r="J197" s="36">
        <f>'Flow Rate Calculations'!$B$7</f>
        <v>4.0831050228310497</v>
      </c>
      <c r="K197" s="36">
        <f t="shared" ref="K197:K260" si="98">J197/I197^2/PI()*4</f>
        <v>1.6045588828318709</v>
      </c>
      <c r="L197" s="37">
        <f>$I197*$K197/'Calculation Constants'!$B$7</f>
        <v>2555934.503625989</v>
      </c>
      <c r="M197" s="37" t="str">
        <f t="shared" si="84"/>
        <v>Greater Dynamic Pressures</v>
      </c>
      <c r="N197" s="23">
        <f t="shared" ref="N197:N260" si="99">W197</f>
        <v>110.74571477331369</v>
      </c>
      <c r="O197" s="57">
        <f t="shared" si="85"/>
        <v>103.61744606521393</v>
      </c>
      <c r="P197" s="66">
        <f>MAX(I197*1000/'Calculation Constants'!$B$14,O197*10*I197*1000/2/('Calculation Constants'!$B$12*1000*'Calculation Constants'!$B$13))</f>
        <v>11.25</v>
      </c>
      <c r="Q197" s="68">
        <f t="shared" si="86"/>
        <v>992548.40161508287</v>
      </c>
      <c r="R197" s="27">
        <f>(1/(2*LOG(3.7*$I197/'Calculation Constants'!$B$2*1000)))^2</f>
        <v>8.7463077071963571E-3</v>
      </c>
      <c r="S197" s="19">
        <f t="shared" ref="S197:S260" si="100">IF($H197&gt;0,R197*$H197*$K197^2/2/9.81/$I197*1000,"")</f>
        <v>1.2752477269849725</v>
      </c>
      <c r="T197" s="19">
        <f>IF($H197&gt;0,'Calculation Constants'!$B$9*Hydraulics!$K197^2/2/9.81/MAX($F$4:$F$263)*$H197,"")</f>
        <v>7.5705987075825154E-2</v>
      </c>
      <c r="U197" s="19">
        <f t="shared" ref="U197:U260" si="101">IF(S197="",0,S197+T197)</f>
        <v>1.3509537140607977</v>
      </c>
      <c r="V197" s="19">
        <f t="shared" si="87"/>
        <v>0</v>
      </c>
      <c r="W197" s="19">
        <f t="shared" si="88"/>
        <v>110.74571477331369</v>
      </c>
      <c r="X197" s="23">
        <f t="shared" si="89"/>
        <v>1121.2177147733137</v>
      </c>
      <c r="Y197" s="22">
        <f>(1/(2*LOG(3.7*$I197/'Calculation Constants'!$B$3*1000)))^2</f>
        <v>9.8211436332891755E-3</v>
      </c>
      <c r="Z197" s="19">
        <f t="shared" si="90"/>
        <v>1.431963236834217</v>
      </c>
      <c r="AA197" s="19">
        <f>IF($H197&gt;0,'Calculation Constants'!$B$9*Hydraulics!$K197^2/2/9.81/MAX($F$4:$F$263)*$H197,"")</f>
        <v>7.5705987075825154E-2</v>
      </c>
      <c r="AB197" s="19">
        <f t="shared" si="82"/>
        <v>1.5076692239100422</v>
      </c>
      <c r="AC197" s="19">
        <f t="shared" si="91"/>
        <v>0</v>
      </c>
      <c r="AD197" s="19">
        <f t="shared" ref="AD197:AD260" si="102">AE197-$G197</f>
        <v>103.61744606521393</v>
      </c>
      <c r="AE197" s="23">
        <f t="shared" si="92"/>
        <v>1114.0894460652139</v>
      </c>
      <c r="AF197" s="27">
        <f>(1/(2*LOG(3.7*$I197/'Calculation Constants'!$B$4*1000)))^2</f>
        <v>1.1575055557914658E-2</v>
      </c>
      <c r="AG197" s="19">
        <f t="shared" si="93"/>
        <v>1.6876908272744866</v>
      </c>
      <c r="AH197" s="19">
        <f>IF($H197&gt;0,'Calculation Constants'!$B$9*Hydraulics!$K197^2/2/9.81/MAX($F$4:$F$263)*$H197,"")</f>
        <v>7.5705987075825154E-2</v>
      </c>
      <c r="AI197" s="19">
        <f t="shared" ref="AI197:AI260" si="103">IF(AG197="",0,AG197+AH197)</f>
        <v>1.7633968143503118</v>
      </c>
      <c r="AJ197" s="19">
        <f t="shared" si="94"/>
        <v>0</v>
      </c>
      <c r="AK197" s="19">
        <f t="shared" ref="AK197:AK260" si="104">AL197-$G197</f>
        <v>92.002701202544358</v>
      </c>
      <c r="AL197" s="23">
        <f t="shared" si="95"/>
        <v>1102.4747012025443</v>
      </c>
      <c r="AM197" s="22">
        <f>(1/(2*LOG(3.7*($I197-0.008)/'Calculation Constants'!$B$5*1000)))^2</f>
        <v>1.4709705891825043E-2</v>
      </c>
      <c r="AN197" s="19">
        <f t="shared" ref="AN197:AN260" si="105">IF($H197&gt;0,AM197*$H197*$K197^2/2/9.81/($I197-0.008)*1000,"")</f>
        <v>2.1543104841910781</v>
      </c>
      <c r="AO197" s="19">
        <f>IF($H197&gt;0,'Calculation Constants'!$B$9*Hydraulics!$K197^2/2/9.81/MAX($F$4:$F$263)*$H197,"")</f>
        <v>7.5705987075825154E-2</v>
      </c>
      <c r="AP197" s="19">
        <f t="shared" ref="AP197:AP260" si="106">IF(AN197="",0,AN197+AO197)</f>
        <v>2.2300164712669033</v>
      </c>
      <c r="AQ197" s="19">
        <f t="shared" si="96"/>
        <v>0</v>
      </c>
      <c r="AR197" s="19">
        <f t="shared" ref="AR197:AR260" si="107">AS197-$G197</f>
        <v>70.894859640763798</v>
      </c>
      <c r="AS197" s="23">
        <f t="shared" si="97"/>
        <v>1081.3668596407638</v>
      </c>
    </row>
    <row r="198" spans="5:45">
      <c r="E198" s="35" t="str">
        <f t="shared" si="83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61" si="108">F198-F197</f>
        <v>2</v>
      </c>
      <c r="I198" s="19">
        <v>1.8</v>
      </c>
      <c r="J198" s="36">
        <f>'Flow Rate Calculations'!$B$7</f>
        <v>4.0831050228310497</v>
      </c>
      <c r="K198" s="36">
        <f t="shared" si="98"/>
        <v>1.6045588828318709</v>
      </c>
      <c r="L198" s="37">
        <f>$I198*$K198/'Calculation Constants'!$B$7</f>
        <v>2555934.503625989</v>
      </c>
      <c r="M198" s="37" t="str">
        <f t="shared" si="84"/>
        <v>Greater Dynamic Pressures</v>
      </c>
      <c r="N198" s="23">
        <f t="shared" si="99"/>
        <v>114.46576105925294</v>
      </c>
      <c r="O198" s="57">
        <f t="shared" si="85"/>
        <v>107.18077684130401</v>
      </c>
      <c r="P198" s="66">
        <f>MAX(I198*1000/'Calculation Constants'!$B$14,O198*10*I198*1000/2/('Calculation Constants'!$B$12*1000*'Calculation Constants'!$B$13))</f>
        <v>11.25</v>
      </c>
      <c r="Q198" s="68">
        <f t="shared" si="86"/>
        <v>992548.40161508287</v>
      </c>
      <c r="R198" s="27">
        <f>(1/(2*LOG(3.7*$I198/'Calculation Constants'!$B$2*1000)))^2</f>
        <v>8.7463077071963571E-3</v>
      </c>
      <c r="S198" s="19">
        <f t="shared" si="100"/>
        <v>1.2752477269849725</v>
      </c>
      <c r="T198" s="19">
        <f>IF($H198&gt;0,'Calculation Constants'!$B$9*Hydraulics!$K198^2/2/9.81/MAX($F$4:$F$263)*$H198,"")</f>
        <v>7.5705987075825154E-2</v>
      </c>
      <c r="U198" s="19">
        <f t="shared" si="101"/>
        <v>1.3509537140607977</v>
      </c>
      <c r="V198" s="19">
        <f t="shared" si="87"/>
        <v>0</v>
      </c>
      <c r="W198" s="19">
        <f t="shared" si="88"/>
        <v>114.46576105925294</v>
      </c>
      <c r="X198" s="23">
        <f t="shared" si="89"/>
        <v>1119.8667610592529</v>
      </c>
      <c r="Y198" s="22">
        <f>(1/(2*LOG(3.7*$I198/'Calculation Constants'!$B$3*1000)))^2</f>
        <v>9.8211436332891755E-3</v>
      </c>
      <c r="Z198" s="19">
        <f t="shared" si="90"/>
        <v>1.431963236834217</v>
      </c>
      <c r="AA198" s="19">
        <f>IF($H198&gt;0,'Calculation Constants'!$B$9*Hydraulics!$K198^2/2/9.81/MAX($F$4:$F$263)*$H198,"")</f>
        <v>7.5705987075825154E-2</v>
      </c>
      <c r="AB198" s="19">
        <f t="shared" si="82"/>
        <v>1.5076692239100422</v>
      </c>
      <c r="AC198" s="19">
        <f t="shared" si="91"/>
        <v>0</v>
      </c>
      <c r="AD198" s="19">
        <f t="shared" si="102"/>
        <v>107.18077684130401</v>
      </c>
      <c r="AE198" s="23">
        <f t="shared" si="92"/>
        <v>1112.581776841304</v>
      </c>
      <c r="AF198" s="27">
        <f>(1/(2*LOG(3.7*$I198/'Calculation Constants'!$B$4*1000)))^2</f>
        <v>1.1575055557914658E-2</v>
      </c>
      <c r="AG198" s="19">
        <f t="shared" si="93"/>
        <v>1.6876908272744866</v>
      </c>
      <c r="AH198" s="19">
        <f>IF($H198&gt;0,'Calculation Constants'!$B$9*Hydraulics!$K198^2/2/9.81/MAX($F$4:$F$263)*$H198,"")</f>
        <v>7.5705987075825154E-2</v>
      </c>
      <c r="AI198" s="19">
        <f t="shared" si="103"/>
        <v>1.7633968143503118</v>
      </c>
      <c r="AJ198" s="19">
        <f t="shared" si="94"/>
        <v>0</v>
      </c>
      <c r="AK198" s="19">
        <f t="shared" si="104"/>
        <v>95.31030438819414</v>
      </c>
      <c r="AL198" s="23">
        <f t="shared" si="95"/>
        <v>1100.7113043881941</v>
      </c>
      <c r="AM198" s="22">
        <f>(1/(2*LOG(3.7*($I198-0.008)/'Calculation Constants'!$B$5*1000)))^2</f>
        <v>1.4709705891825043E-2</v>
      </c>
      <c r="AN198" s="19">
        <f t="shared" si="105"/>
        <v>2.1543104841910781</v>
      </c>
      <c r="AO198" s="19">
        <f>IF($H198&gt;0,'Calculation Constants'!$B$9*Hydraulics!$K198^2/2/9.81/MAX($F$4:$F$263)*$H198,"")</f>
        <v>7.5705987075825154E-2</v>
      </c>
      <c r="AP198" s="19">
        <f t="shared" si="106"/>
        <v>2.2300164712669033</v>
      </c>
      <c r="AQ198" s="19">
        <f t="shared" si="96"/>
        <v>0</v>
      </c>
      <c r="AR198" s="19">
        <f t="shared" si="107"/>
        <v>73.735843169496889</v>
      </c>
      <c r="AS198" s="23">
        <f t="shared" si="97"/>
        <v>1079.1368431694968</v>
      </c>
    </row>
    <row r="199" spans="5:45">
      <c r="E199" s="35" t="str">
        <f t="shared" si="83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8"/>
        <v>2</v>
      </c>
      <c r="I199" s="19">
        <v>1.8</v>
      </c>
      <c r="J199" s="36">
        <f>'Flow Rate Calculations'!$B$7</f>
        <v>4.0831050228310497</v>
      </c>
      <c r="K199" s="36">
        <f t="shared" si="98"/>
        <v>1.6045588828318709</v>
      </c>
      <c r="L199" s="37">
        <f>$I199*$K199/'Calculation Constants'!$B$7</f>
        <v>2555934.503625989</v>
      </c>
      <c r="M199" s="37" t="str">
        <f t="shared" si="84"/>
        <v>Greater Dynamic Pressures</v>
      </c>
      <c r="N199" s="23">
        <f t="shared" si="99"/>
        <v>121.84980734519206</v>
      </c>
      <c r="O199" s="57">
        <f t="shared" si="85"/>
        <v>114.40810761739397</v>
      </c>
      <c r="P199" s="66">
        <f>MAX(I199*1000/'Calculation Constants'!$B$14,O199*10*I199*1000/2/('Calculation Constants'!$B$12*1000*'Calculation Constants'!$B$13))</f>
        <v>11.25</v>
      </c>
      <c r="Q199" s="68">
        <f t="shared" si="86"/>
        <v>992548.40161508287</v>
      </c>
      <c r="R199" s="27">
        <f>(1/(2*LOG(3.7*$I199/'Calculation Constants'!$B$2*1000)))^2</f>
        <v>8.7463077071963571E-3</v>
      </c>
      <c r="S199" s="19">
        <f t="shared" si="100"/>
        <v>1.2752477269849725</v>
      </c>
      <c r="T199" s="19">
        <f>IF($H199&gt;0,'Calculation Constants'!$B$9*Hydraulics!$K199^2/2/9.81/MAX($F$4:$F$263)*$H199,"")</f>
        <v>7.5705987075825154E-2</v>
      </c>
      <c r="U199" s="19">
        <f t="shared" si="101"/>
        <v>1.3509537140607977</v>
      </c>
      <c r="V199" s="19">
        <f t="shared" si="87"/>
        <v>0</v>
      </c>
      <c r="W199" s="19">
        <f t="shared" si="88"/>
        <v>121.84980734519206</v>
      </c>
      <c r="X199" s="23">
        <f t="shared" si="89"/>
        <v>1118.5158073451921</v>
      </c>
      <c r="Y199" s="22">
        <f>(1/(2*LOG(3.7*$I199/'Calculation Constants'!$B$3*1000)))^2</f>
        <v>9.8211436332891755E-3</v>
      </c>
      <c r="Z199" s="19">
        <f t="shared" si="90"/>
        <v>1.431963236834217</v>
      </c>
      <c r="AA199" s="19">
        <f>IF($H199&gt;0,'Calculation Constants'!$B$9*Hydraulics!$K199^2/2/9.81/MAX($F$4:$F$263)*$H199,"")</f>
        <v>7.5705987075825154E-2</v>
      </c>
      <c r="AB199" s="19">
        <f t="shared" si="82"/>
        <v>1.5076692239100422</v>
      </c>
      <c r="AC199" s="19">
        <f t="shared" si="91"/>
        <v>0</v>
      </c>
      <c r="AD199" s="19">
        <f t="shared" si="102"/>
        <v>114.40810761739397</v>
      </c>
      <c r="AE199" s="23">
        <f t="shared" si="92"/>
        <v>1111.074107617394</v>
      </c>
      <c r="AF199" s="27">
        <f>(1/(2*LOG(3.7*$I199/'Calculation Constants'!$B$4*1000)))^2</f>
        <v>1.1575055557914658E-2</v>
      </c>
      <c r="AG199" s="19">
        <f t="shared" si="93"/>
        <v>1.6876908272744866</v>
      </c>
      <c r="AH199" s="19">
        <f>IF($H199&gt;0,'Calculation Constants'!$B$9*Hydraulics!$K199^2/2/9.81/MAX($F$4:$F$263)*$H199,"")</f>
        <v>7.5705987075825154E-2</v>
      </c>
      <c r="AI199" s="19">
        <f t="shared" si="103"/>
        <v>1.7633968143503118</v>
      </c>
      <c r="AJ199" s="19">
        <f t="shared" si="94"/>
        <v>0</v>
      </c>
      <c r="AK199" s="19">
        <f t="shared" si="104"/>
        <v>102.2819075738438</v>
      </c>
      <c r="AL199" s="23">
        <f t="shared" si="95"/>
        <v>1098.9479075738438</v>
      </c>
      <c r="AM199" s="22">
        <f>(1/(2*LOG(3.7*($I199-0.008)/'Calculation Constants'!$B$5*1000)))^2</f>
        <v>1.4709705891825043E-2</v>
      </c>
      <c r="AN199" s="19">
        <f t="shared" si="105"/>
        <v>2.1543104841910781</v>
      </c>
      <c r="AO199" s="19">
        <f>IF($H199&gt;0,'Calculation Constants'!$B$9*Hydraulics!$K199^2/2/9.81/MAX($F$4:$F$263)*$H199,"")</f>
        <v>7.5705987075825154E-2</v>
      </c>
      <c r="AP199" s="19">
        <f t="shared" si="106"/>
        <v>2.2300164712669033</v>
      </c>
      <c r="AQ199" s="19">
        <f t="shared" si="96"/>
        <v>0</v>
      </c>
      <c r="AR199" s="19">
        <f t="shared" si="107"/>
        <v>80.240826698229853</v>
      </c>
      <c r="AS199" s="23">
        <f t="shared" si="97"/>
        <v>1076.9068266982299</v>
      </c>
    </row>
    <row r="200" spans="5:45">
      <c r="E200" s="35" t="str">
        <f t="shared" si="83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8"/>
        <v>2</v>
      </c>
      <c r="I200" s="19">
        <v>1.8</v>
      </c>
      <c r="J200" s="36">
        <f>'Flow Rate Calculations'!$B$7</f>
        <v>4.0831050228310497</v>
      </c>
      <c r="K200" s="36">
        <f t="shared" si="98"/>
        <v>1.6045588828318709</v>
      </c>
      <c r="L200" s="37">
        <f>$I200*$K200/'Calculation Constants'!$B$7</f>
        <v>2555934.503625989</v>
      </c>
      <c r="M200" s="37" t="str">
        <f t="shared" si="84"/>
        <v>Greater Dynamic Pressures</v>
      </c>
      <c r="N200" s="23">
        <f t="shared" si="99"/>
        <v>125.81485363113131</v>
      </c>
      <c r="O200" s="57">
        <f t="shared" si="85"/>
        <v>118.21643839348405</v>
      </c>
      <c r="P200" s="66">
        <f>MAX(I200*1000/'Calculation Constants'!$B$14,O200*10*I200*1000/2/('Calculation Constants'!$B$12*1000*'Calculation Constants'!$B$13))</f>
        <v>11.25</v>
      </c>
      <c r="Q200" s="68">
        <f t="shared" si="86"/>
        <v>992548.40161508287</v>
      </c>
      <c r="R200" s="27">
        <f>(1/(2*LOG(3.7*$I200/'Calculation Constants'!$B$2*1000)))^2</f>
        <v>8.7463077071963571E-3</v>
      </c>
      <c r="S200" s="19">
        <f t="shared" si="100"/>
        <v>1.2752477269849725</v>
      </c>
      <c r="T200" s="19">
        <f>IF($H200&gt;0,'Calculation Constants'!$B$9*Hydraulics!$K200^2/2/9.81/MAX($F$4:$F$263)*$H200,"")</f>
        <v>7.5705987075825154E-2</v>
      </c>
      <c r="U200" s="19">
        <f t="shared" si="101"/>
        <v>1.3509537140607977</v>
      </c>
      <c r="V200" s="19">
        <f t="shared" si="87"/>
        <v>0</v>
      </c>
      <c r="W200" s="19">
        <f t="shared" si="88"/>
        <v>125.81485363113131</v>
      </c>
      <c r="X200" s="23">
        <f t="shared" si="89"/>
        <v>1117.1648536311313</v>
      </c>
      <c r="Y200" s="22">
        <f>(1/(2*LOG(3.7*$I200/'Calculation Constants'!$B$3*1000)))^2</f>
        <v>9.8211436332891755E-3</v>
      </c>
      <c r="Z200" s="19">
        <f t="shared" si="90"/>
        <v>1.431963236834217</v>
      </c>
      <c r="AA200" s="19">
        <f>IF($H200&gt;0,'Calculation Constants'!$B$9*Hydraulics!$K200^2/2/9.81/MAX($F$4:$F$263)*$H200,"")</f>
        <v>7.5705987075825154E-2</v>
      </c>
      <c r="AB200" s="19">
        <f t="shared" ref="AB200:AB263" si="109">IF(Z200="",0,Z200+AA200)</f>
        <v>1.5076692239100422</v>
      </c>
      <c r="AC200" s="19">
        <f t="shared" si="91"/>
        <v>0</v>
      </c>
      <c r="AD200" s="19">
        <f t="shared" si="102"/>
        <v>118.21643839348405</v>
      </c>
      <c r="AE200" s="23">
        <f t="shared" si="92"/>
        <v>1109.5664383934841</v>
      </c>
      <c r="AF200" s="27">
        <f>(1/(2*LOG(3.7*$I200/'Calculation Constants'!$B$4*1000)))^2</f>
        <v>1.1575055557914658E-2</v>
      </c>
      <c r="AG200" s="19">
        <f t="shared" si="93"/>
        <v>1.6876908272744866</v>
      </c>
      <c r="AH200" s="19">
        <f>IF($H200&gt;0,'Calculation Constants'!$B$9*Hydraulics!$K200^2/2/9.81/MAX($F$4:$F$263)*$H200,"")</f>
        <v>7.5705987075825154E-2</v>
      </c>
      <c r="AI200" s="19">
        <f t="shared" si="103"/>
        <v>1.7633968143503118</v>
      </c>
      <c r="AJ200" s="19">
        <f t="shared" si="94"/>
        <v>0</v>
      </c>
      <c r="AK200" s="19">
        <f t="shared" si="104"/>
        <v>105.83451075949358</v>
      </c>
      <c r="AL200" s="23">
        <f t="shared" si="95"/>
        <v>1097.1845107594936</v>
      </c>
      <c r="AM200" s="22">
        <f>(1/(2*LOG(3.7*($I200-0.008)/'Calculation Constants'!$B$5*1000)))^2</f>
        <v>1.4709705891825043E-2</v>
      </c>
      <c r="AN200" s="19">
        <f t="shared" si="105"/>
        <v>2.1543104841910781</v>
      </c>
      <c r="AO200" s="19">
        <f>IF($H200&gt;0,'Calculation Constants'!$B$9*Hydraulics!$K200^2/2/9.81/MAX($F$4:$F$263)*$H200,"")</f>
        <v>7.5705987075825154E-2</v>
      </c>
      <c r="AP200" s="19">
        <f t="shared" si="106"/>
        <v>2.2300164712669033</v>
      </c>
      <c r="AQ200" s="19">
        <f t="shared" si="96"/>
        <v>0</v>
      </c>
      <c r="AR200" s="19">
        <f t="shared" si="107"/>
        <v>83.326810226962948</v>
      </c>
      <c r="AS200" s="23">
        <f t="shared" si="97"/>
        <v>1074.676810226963</v>
      </c>
    </row>
    <row r="201" spans="5:45">
      <c r="E201" s="35" t="str">
        <f t="shared" si="83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8"/>
        <v>2</v>
      </c>
      <c r="I201" s="19">
        <v>1.8</v>
      </c>
      <c r="J201" s="36">
        <f>'Flow Rate Calculations'!$B$7</f>
        <v>4.0831050228310497</v>
      </c>
      <c r="K201" s="36">
        <f t="shared" si="98"/>
        <v>1.6045588828318709</v>
      </c>
      <c r="L201" s="37">
        <f>$I201*$K201/'Calculation Constants'!$B$7</f>
        <v>2555934.503625989</v>
      </c>
      <c r="M201" s="37" t="str">
        <f t="shared" si="84"/>
        <v>Greater Dynamic Pressures</v>
      </c>
      <c r="N201" s="23">
        <f t="shared" si="99"/>
        <v>125.32789991707057</v>
      </c>
      <c r="O201" s="57">
        <f t="shared" si="85"/>
        <v>117.57276916957414</v>
      </c>
      <c r="P201" s="66">
        <f>MAX(I201*1000/'Calculation Constants'!$B$14,O201*10*I201*1000/2/('Calculation Constants'!$B$12*1000*'Calculation Constants'!$B$13))</f>
        <v>11.25</v>
      </c>
      <c r="Q201" s="68">
        <f t="shared" si="86"/>
        <v>992548.40161508287</v>
      </c>
      <c r="R201" s="27">
        <f>(1/(2*LOG(3.7*$I201/'Calculation Constants'!$B$2*1000)))^2</f>
        <v>8.7463077071963571E-3</v>
      </c>
      <c r="S201" s="19">
        <f t="shared" si="100"/>
        <v>1.2752477269849725</v>
      </c>
      <c r="T201" s="19">
        <f>IF($H201&gt;0,'Calculation Constants'!$B$9*Hydraulics!$K201^2/2/9.81/MAX($F$4:$F$263)*$H201,"")</f>
        <v>7.5705987075825154E-2</v>
      </c>
      <c r="U201" s="19">
        <f t="shared" si="101"/>
        <v>1.3509537140607977</v>
      </c>
      <c r="V201" s="19">
        <f t="shared" si="87"/>
        <v>0</v>
      </c>
      <c r="W201" s="19">
        <f t="shared" si="88"/>
        <v>125.32789991707057</v>
      </c>
      <c r="X201" s="23">
        <f t="shared" si="89"/>
        <v>1115.8138999170706</v>
      </c>
      <c r="Y201" s="22">
        <f>(1/(2*LOG(3.7*$I201/'Calculation Constants'!$B$3*1000)))^2</f>
        <v>9.8211436332891755E-3</v>
      </c>
      <c r="Z201" s="19">
        <f t="shared" si="90"/>
        <v>1.431963236834217</v>
      </c>
      <c r="AA201" s="19">
        <f>IF($H201&gt;0,'Calculation Constants'!$B$9*Hydraulics!$K201^2/2/9.81/MAX($F$4:$F$263)*$H201,"")</f>
        <v>7.5705987075825154E-2</v>
      </c>
      <c r="AB201" s="19">
        <f t="shared" si="109"/>
        <v>1.5076692239100422</v>
      </c>
      <c r="AC201" s="19">
        <f t="shared" si="91"/>
        <v>0</v>
      </c>
      <c r="AD201" s="19">
        <f t="shared" si="102"/>
        <v>117.57276916957414</v>
      </c>
      <c r="AE201" s="23">
        <f t="shared" si="92"/>
        <v>1108.0587691695741</v>
      </c>
      <c r="AF201" s="27">
        <f>(1/(2*LOG(3.7*$I201/'Calculation Constants'!$B$4*1000)))^2</f>
        <v>1.1575055557914658E-2</v>
      </c>
      <c r="AG201" s="19">
        <f t="shared" si="93"/>
        <v>1.6876908272744866</v>
      </c>
      <c r="AH201" s="19">
        <f>IF($H201&gt;0,'Calculation Constants'!$B$9*Hydraulics!$K201^2/2/9.81/MAX($F$4:$F$263)*$H201,"")</f>
        <v>7.5705987075825154E-2</v>
      </c>
      <c r="AI201" s="19">
        <f t="shared" si="103"/>
        <v>1.7633968143503118</v>
      </c>
      <c r="AJ201" s="19">
        <f t="shared" si="94"/>
        <v>0</v>
      </c>
      <c r="AK201" s="19">
        <f t="shared" si="104"/>
        <v>104.93511394514337</v>
      </c>
      <c r="AL201" s="23">
        <f t="shared" si="95"/>
        <v>1095.4211139451434</v>
      </c>
      <c r="AM201" s="22">
        <f>(1/(2*LOG(3.7*($I201-0.008)/'Calculation Constants'!$B$5*1000)))^2</f>
        <v>1.4709705891825043E-2</v>
      </c>
      <c r="AN201" s="19">
        <f t="shared" si="105"/>
        <v>2.1543104841910781</v>
      </c>
      <c r="AO201" s="19">
        <f>IF($H201&gt;0,'Calculation Constants'!$B$9*Hydraulics!$K201^2/2/9.81/MAX($F$4:$F$263)*$H201,"")</f>
        <v>7.5705987075825154E-2</v>
      </c>
      <c r="AP201" s="19">
        <f t="shared" si="106"/>
        <v>2.2300164712669033</v>
      </c>
      <c r="AQ201" s="19">
        <f t="shared" si="96"/>
        <v>0</v>
      </c>
      <c r="AR201" s="19">
        <f t="shared" si="107"/>
        <v>81.960793755696045</v>
      </c>
      <c r="AS201" s="23">
        <f t="shared" si="97"/>
        <v>1072.446793755696</v>
      </c>
    </row>
    <row r="202" spans="5:45">
      <c r="E202" s="35" t="str">
        <f t="shared" si="83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8"/>
        <v>2</v>
      </c>
      <c r="I202" s="19">
        <v>1.8</v>
      </c>
      <c r="J202" s="36">
        <f>'Flow Rate Calculations'!$B$7</f>
        <v>4.0831050228310497</v>
      </c>
      <c r="K202" s="36">
        <f t="shared" si="98"/>
        <v>1.6045588828318709</v>
      </c>
      <c r="L202" s="37">
        <f>$I202*$K202/'Calculation Constants'!$B$7</f>
        <v>2555934.503625989</v>
      </c>
      <c r="M202" s="37" t="str">
        <f t="shared" si="84"/>
        <v>Greater Dynamic Pressures</v>
      </c>
      <c r="N202" s="23">
        <f t="shared" si="99"/>
        <v>121.70194620300981</v>
      </c>
      <c r="O202" s="57">
        <f t="shared" si="85"/>
        <v>113.79009994566422</v>
      </c>
      <c r="P202" s="66">
        <f>MAX(I202*1000/'Calculation Constants'!$B$14,O202*10*I202*1000/2/('Calculation Constants'!$B$12*1000*'Calculation Constants'!$B$13))</f>
        <v>11.25</v>
      </c>
      <c r="Q202" s="68">
        <f t="shared" si="86"/>
        <v>992548.40161508287</v>
      </c>
      <c r="R202" s="27">
        <f>(1/(2*LOG(3.7*$I202/'Calculation Constants'!$B$2*1000)))^2</f>
        <v>8.7463077071963571E-3</v>
      </c>
      <c r="S202" s="19">
        <f t="shared" si="100"/>
        <v>1.2752477269849725</v>
      </c>
      <c r="T202" s="19">
        <f>IF($H202&gt;0,'Calculation Constants'!$B$9*Hydraulics!$K202^2/2/9.81/MAX($F$4:$F$263)*$H202,"")</f>
        <v>7.5705987075825154E-2</v>
      </c>
      <c r="U202" s="19">
        <f t="shared" si="101"/>
        <v>1.3509537140607977</v>
      </c>
      <c r="V202" s="19">
        <f t="shared" si="87"/>
        <v>0</v>
      </c>
      <c r="W202" s="19">
        <f t="shared" si="88"/>
        <v>121.70194620300981</v>
      </c>
      <c r="X202" s="23">
        <f t="shared" si="89"/>
        <v>1114.4629462030098</v>
      </c>
      <c r="Y202" s="22">
        <f>(1/(2*LOG(3.7*$I202/'Calculation Constants'!$B$3*1000)))^2</f>
        <v>9.8211436332891755E-3</v>
      </c>
      <c r="Z202" s="19">
        <f t="shared" si="90"/>
        <v>1.431963236834217</v>
      </c>
      <c r="AA202" s="19">
        <f>IF($H202&gt;0,'Calculation Constants'!$B$9*Hydraulics!$K202^2/2/9.81/MAX($F$4:$F$263)*$H202,"")</f>
        <v>7.5705987075825154E-2</v>
      </c>
      <c r="AB202" s="19">
        <f t="shared" si="109"/>
        <v>1.5076692239100422</v>
      </c>
      <c r="AC202" s="19">
        <f t="shared" si="91"/>
        <v>0</v>
      </c>
      <c r="AD202" s="19">
        <f t="shared" si="102"/>
        <v>113.79009994566422</v>
      </c>
      <c r="AE202" s="23">
        <f t="shared" si="92"/>
        <v>1106.5510999456642</v>
      </c>
      <c r="AF202" s="27">
        <f>(1/(2*LOG(3.7*$I202/'Calculation Constants'!$B$4*1000)))^2</f>
        <v>1.1575055557914658E-2</v>
      </c>
      <c r="AG202" s="19">
        <f t="shared" si="93"/>
        <v>1.6876908272744866</v>
      </c>
      <c r="AH202" s="19">
        <f>IF($H202&gt;0,'Calculation Constants'!$B$9*Hydraulics!$K202^2/2/9.81/MAX($F$4:$F$263)*$H202,"")</f>
        <v>7.5705987075825154E-2</v>
      </c>
      <c r="AI202" s="19">
        <f t="shared" si="103"/>
        <v>1.7633968143503118</v>
      </c>
      <c r="AJ202" s="19">
        <f t="shared" si="94"/>
        <v>0</v>
      </c>
      <c r="AK202" s="19">
        <f t="shared" si="104"/>
        <v>100.89671713079315</v>
      </c>
      <c r="AL202" s="23">
        <f t="shared" si="95"/>
        <v>1093.6577171307931</v>
      </c>
      <c r="AM202" s="22">
        <f>(1/(2*LOG(3.7*($I202-0.008)/'Calculation Constants'!$B$5*1000)))^2</f>
        <v>1.4709705891825043E-2</v>
      </c>
      <c r="AN202" s="19">
        <f t="shared" si="105"/>
        <v>2.1543104841910781</v>
      </c>
      <c r="AO202" s="19">
        <f>IF($H202&gt;0,'Calculation Constants'!$B$9*Hydraulics!$K202^2/2/9.81/MAX($F$4:$F$263)*$H202,"")</f>
        <v>7.5705987075825154E-2</v>
      </c>
      <c r="AP202" s="19">
        <f t="shared" si="106"/>
        <v>2.2300164712669033</v>
      </c>
      <c r="AQ202" s="19">
        <f t="shared" si="96"/>
        <v>0</v>
      </c>
      <c r="AR202" s="19">
        <f t="shared" si="107"/>
        <v>77.455777284429132</v>
      </c>
      <c r="AS202" s="23">
        <f t="shared" si="97"/>
        <v>1070.2167772844291</v>
      </c>
    </row>
    <row r="203" spans="5:45">
      <c r="E203" s="35" t="str">
        <f t="shared" si="83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8"/>
        <v>2</v>
      </c>
      <c r="I203" s="19">
        <v>1.8</v>
      </c>
      <c r="J203" s="36">
        <f>'Flow Rate Calculations'!$B$7</f>
        <v>4.0831050228310497</v>
      </c>
      <c r="K203" s="36">
        <f t="shared" si="98"/>
        <v>1.6045588828318709</v>
      </c>
      <c r="L203" s="37">
        <f>$I203*$K203/'Calculation Constants'!$B$7</f>
        <v>2555934.503625989</v>
      </c>
      <c r="M203" s="37" t="str">
        <f t="shared" si="84"/>
        <v>Greater Dynamic Pressures</v>
      </c>
      <c r="N203" s="23">
        <f t="shared" si="99"/>
        <v>114.034992488949</v>
      </c>
      <c r="O203" s="57">
        <f t="shared" si="85"/>
        <v>105.96643072175425</v>
      </c>
      <c r="P203" s="66">
        <f>MAX(I203*1000/'Calculation Constants'!$B$14,O203*10*I203*1000/2/('Calculation Constants'!$B$12*1000*'Calculation Constants'!$B$13))</f>
        <v>11.25</v>
      </c>
      <c r="Q203" s="68">
        <f t="shared" si="86"/>
        <v>992548.40161508287</v>
      </c>
      <c r="R203" s="27">
        <f>(1/(2*LOG(3.7*$I203/'Calculation Constants'!$B$2*1000)))^2</f>
        <v>8.7463077071963571E-3</v>
      </c>
      <c r="S203" s="19">
        <f t="shared" si="100"/>
        <v>1.2752477269849725</v>
      </c>
      <c r="T203" s="19">
        <f>IF($H203&gt;0,'Calculation Constants'!$B$9*Hydraulics!$K203^2/2/9.81/MAX($F$4:$F$263)*$H203,"")</f>
        <v>7.5705987075825154E-2</v>
      </c>
      <c r="U203" s="19">
        <f t="shared" si="101"/>
        <v>1.3509537140607977</v>
      </c>
      <c r="V203" s="19">
        <f t="shared" si="87"/>
        <v>0</v>
      </c>
      <c r="W203" s="19">
        <f t="shared" si="88"/>
        <v>114.034992488949</v>
      </c>
      <c r="X203" s="23">
        <f t="shared" si="89"/>
        <v>1113.111992488949</v>
      </c>
      <c r="Y203" s="22">
        <f>(1/(2*LOG(3.7*$I203/'Calculation Constants'!$B$3*1000)))^2</f>
        <v>9.8211436332891755E-3</v>
      </c>
      <c r="Z203" s="19">
        <f t="shared" si="90"/>
        <v>1.431963236834217</v>
      </c>
      <c r="AA203" s="19">
        <f>IF($H203&gt;0,'Calculation Constants'!$B$9*Hydraulics!$K203^2/2/9.81/MAX($F$4:$F$263)*$H203,"")</f>
        <v>7.5705987075825154E-2</v>
      </c>
      <c r="AB203" s="19">
        <f t="shared" si="109"/>
        <v>1.5076692239100422</v>
      </c>
      <c r="AC203" s="19">
        <f t="shared" si="91"/>
        <v>0</v>
      </c>
      <c r="AD203" s="19">
        <f t="shared" si="102"/>
        <v>105.96643072175425</v>
      </c>
      <c r="AE203" s="23">
        <f t="shared" si="92"/>
        <v>1105.0434307217542</v>
      </c>
      <c r="AF203" s="27">
        <f>(1/(2*LOG(3.7*$I203/'Calculation Constants'!$B$4*1000)))^2</f>
        <v>1.1575055557914658E-2</v>
      </c>
      <c r="AG203" s="19">
        <f t="shared" si="93"/>
        <v>1.6876908272744866</v>
      </c>
      <c r="AH203" s="19">
        <f>IF($H203&gt;0,'Calculation Constants'!$B$9*Hydraulics!$K203^2/2/9.81/MAX($F$4:$F$263)*$H203,"")</f>
        <v>7.5705987075825154E-2</v>
      </c>
      <c r="AI203" s="19">
        <f t="shared" si="103"/>
        <v>1.7633968143503118</v>
      </c>
      <c r="AJ203" s="19">
        <f t="shared" si="94"/>
        <v>0</v>
      </c>
      <c r="AK203" s="19">
        <f t="shared" si="104"/>
        <v>92.817320316442874</v>
      </c>
      <c r="AL203" s="23">
        <f t="shared" si="95"/>
        <v>1091.8943203164429</v>
      </c>
      <c r="AM203" s="22">
        <f>(1/(2*LOG(3.7*($I203-0.008)/'Calculation Constants'!$B$5*1000)))^2</f>
        <v>1.4709705891825043E-2</v>
      </c>
      <c r="AN203" s="19">
        <f t="shared" si="105"/>
        <v>2.1543104841910781</v>
      </c>
      <c r="AO203" s="19">
        <f>IF($H203&gt;0,'Calculation Constants'!$B$9*Hydraulics!$K203^2/2/9.81/MAX($F$4:$F$263)*$H203,"")</f>
        <v>7.5705987075825154E-2</v>
      </c>
      <c r="AP203" s="19">
        <f t="shared" si="106"/>
        <v>2.2300164712669033</v>
      </c>
      <c r="AQ203" s="19">
        <f t="shared" si="96"/>
        <v>0</v>
      </c>
      <c r="AR203" s="19">
        <f t="shared" si="107"/>
        <v>68.909760813162166</v>
      </c>
      <c r="AS203" s="23">
        <f t="shared" si="97"/>
        <v>1067.9867608131622</v>
      </c>
    </row>
    <row r="204" spans="5:45">
      <c r="E204" s="35" t="str">
        <f t="shared" si="83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8"/>
        <v>2</v>
      </c>
      <c r="I204" s="19">
        <v>1.8</v>
      </c>
      <c r="J204" s="36">
        <f>'Flow Rate Calculations'!$B$7</f>
        <v>4.0831050228310497</v>
      </c>
      <c r="K204" s="36">
        <f t="shared" si="98"/>
        <v>1.6045588828318709</v>
      </c>
      <c r="L204" s="37">
        <f>$I204*$K204/'Calculation Constants'!$B$7</f>
        <v>2555934.503625989</v>
      </c>
      <c r="M204" s="37" t="str">
        <f t="shared" si="84"/>
        <v>Greater Dynamic Pressures</v>
      </c>
      <c r="N204" s="23">
        <f t="shared" si="99"/>
        <v>109.96103877488827</v>
      </c>
      <c r="O204" s="57">
        <f t="shared" si="85"/>
        <v>101.73576149784435</v>
      </c>
      <c r="P204" s="66">
        <f>MAX(I204*1000/'Calculation Constants'!$B$14,O204*10*I204*1000/2/('Calculation Constants'!$B$12*1000*'Calculation Constants'!$B$13))</f>
        <v>11.25</v>
      </c>
      <c r="Q204" s="68">
        <f t="shared" si="86"/>
        <v>992548.40161508287</v>
      </c>
      <c r="R204" s="27">
        <f>(1/(2*LOG(3.7*$I204/'Calculation Constants'!$B$2*1000)))^2</f>
        <v>8.7463077071963571E-3</v>
      </c>
      <c r="S204" s="19">
        <f t="shared" si="100"/>
        <v>1.2752477269849725</v>
      </c>
      <c r="T204" s="19">
        <f>IF($H204&gt;0,'Calculation Constants'!$B$9*Hydraulics!$K204^2/2/9.81/MAX($F$4:$F$263)*$H204,"")</f>
        <v>7.5705987075825154E-2</v>
      </c>
      <c r="U204" s="19">
        <f t="shared" si="101"/>
        <v>1.3509537140607977</v>
      </c>
      <c r="V204" s="19">
        <f t="shared" si="87"/>
        <v>0</v>
      </c>
      <c r="W204" s="19">
        <f t="shared" si="88"/>
        <v>109.96103877488827</v>
      </c>
      <c r="X204" s="23">
        <f t="shared" si="89"/>
        <v>1111.7610387748882</v>
      </c>
      <c r="Y204" s="22">
        <f>(1/(2*LOG(3.7*$I204/'Calculation Constants'!$B$3*1000)))^2</f>
        <v>9.8211436332891755E-3</v>
      </c>
      <c r="Z204" s="19">
        <f t="shared" si="90"/>
        <v>1.431963236834217</v>
      </c>
      <c r="AA204" s="19">
        <f>IF($H204&gt;0,'Calculation Constants'!$B$9*Hydraulics!$K204^2/2/9.81/MAX($F$4:$F$263)*$H204,"")</f>
        <v>7.5705987075825154E-2</v>
      </c>
      <c r="AB204" s="19">
        <f t="shared" si="109"/>
        <v>1.5076692239100422</v>
      </c>
      <c r="AC204" s="19">
        <f t="shared" si="91"/>
        <v>0</v>
      </c>
      <c r="AD204" s="19">
        <f t="shared" si="102"/>
        <v>101.73576149784435</v>
      </c>
      <c r="AE204" s="23">
        <f t="shared" si="92"/>
        <v>1103.5357614978443</v>
      </c>
      <c r="AF204" s="27">
        <f>(1/(2*LOG(3.7*$I204/'Calculation Constants'!$B$4*1000)))^2</f>
        <v>1.1575055557914658E-2</v>
      </c>
      <c r="AG204" s="19">
        <f t="shared" si="93"/>
        <v>1.6876908272744866</v>
      </c>
      <c r="AH204" s="19">
        <f>IF($H204&gt;0,'Calculation Constants'!$B$9*Hydraulics!$K204^2/2/9.81/MAX($F$4:$F$263)*$H204,"")</f>
        <v>7.5705987075825154E-2</v>
      </c>
      <c r="AI204" s="19">
        <f t="shared" si="103"/>
        <v>1.7633968143503118</v>
      </c>
      <c r="AJ204" s="19">
        <f t="shared" si="94"/>
        <v>0</v>
      </c>
      <c r="AK204" s="19">
        <f t="shared" si="104"/>
        <v>88.330923502092674</v>
      </c>
      <c r="AL204" s="23">
        <f t="shared" si="95"/>
        <v>1090.1309235020926</v>
      </c>
      <c r="AM204" s="22">
        <f>(1/(2*LOG(3.7*($I204-0.008)/'Calculation Constants'!$B$5*1000)))^2</f>
        <v>1.4709705891825043E-2</v>
      </c>
      <c r="AN204" s="19">
        <f t="shared" si="105"/>
        <v>2.1543104841910781</v>
      </c>
      <c r="AO204" s="19">
        <f>IF($H204&gt;0,'Calculation Constants'!$B$9*Hydraulics!$K204^2/2/9.81/MAX($F$4:$F$263)*$H204,"")</f>
        <v>7.5705987075825154E-2</v>
      </c>
      <c r="AP204" s="19">
        <f t="shared" si="106"/>
        <v>2.2300164712669033</v>
      </c>
      <c r="AQ204" s="19">
        <f t="shared" si="96"/>
        <v>0</v>
      </c>
      <c r="AR204" s="19">
        <f t="shared" si="107"/>
        <v>63.956744341895273</v>
      </c>
      <c r="AS204" s="23">
        <f t="shared" si="97"/>
        <v>1065.7567443418952</v>
      </c>
    </row>
    <row r="205" spans="5:45">
      <c r="E205" s="35" t="str">
        <f t="shared" si="83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8"/>
        <v>2</v>
      </c>
      <c r="I205" s="19">
        <v>1.8</v>
      </c>
      <c r="J205" s="36">
        <f>'Flow Rate Calculations'!$B$7</f>
        <v>4.0831050228310497</v>
      </c>
      <c r="K205" s="36">
        <f t="shared" si="98"/>
        <v>1.6045588828318709</v>
      </c>
      <c r="L205" s="37">
        <f>$I205*$K205/'Calculation Constants'!$B$7</f>
        <v>2555934.503625989</v>
      </c>
      <c r="M205" s="37" t="str">
        <f t="shared" si="84"/>
        <v>Greater Dynamic Pressures</v>
      </c>
      <c r="N205" s="23">
        <f t="shared" si="99"/>
        <v>108.18608506082739</v>
      </c>
      <c r="O205" s="57">
        <f t="shared" si="85"/>
        <v>99.804092273934316</v>
      </c>
      <c r="P205" s="66">
        <f>MAX(I205*1000/'Calculation Constants'!$B$14,O205*10*I205*1000/2/('Calculation Constants'!$B$12*1000*'Calculation Constants'!$B$13))</f>
        <v>11.25</v>
      </c>
      <c r="Q205" s="68">
        <f t="shared" si="86"/>
        <v>992548.40161508287</v>
      </c>
      <c r="R205" s="27">
        <f>(1/(2*LOG(3.7*$I205/'Calculation Constants'!$B$2*1000)))^2</f>
        <v>8.7463077071963571E-3</v>
      </c>
      <c r="S205" s="19">
        <f t="shared" si="100"/>
        <v>1.2752477269849725</v>
      </c>
      <c r="T205" s="19">
        <f>IF($H205&gt;0,'Calculation Constants'!$B$9*Hydraulics!$K205^2/2/9.81/MAX($F$4:$F$263)*$H205,"")</f>
        <v>7.5705987075825154E-2</v>
      </c>
      <c r="U205" s="19">
        <f t="shared" si="101"/>
        <v>1.3509537140607977</v>
      </c>
      <c r="V205" s="19">
        <f t="shared" si="87"/>
        <v>0</v>
      </c>
      <c r="W205" s="19">
        <f t="shared" si="88"/>
        <v>108.18608506082739</v>
      </c>
      <c r="X205" s="23">
        <f t="shared" si="89"/>
        <v>1110.4100850608274</v>
      </c>
      <c r="Y205" s="22">
        <f>(1/(2*LOG(3.7*$I205/'Calculation Constants'!$B$3*1000)))^2</f>
        <v>9.8211436332891755E-3</v>
      </c>
      <c r="Z205" s="19">
        <f t="shared" si="90"/>
        <v>1.431963236834217</v>
      </c>
      <c r="AA205" s="19">
        <f>IF($H205&gt;0,'Calculation Constants'!$B$9*Hydraulics!$K205^2/2/9.81/MAX($F$4:$F$263)*$H205,"")</f>
        <v>7.5705987075825154E-2</v>
      </c>
      <c r="AB205" s="19">
        <f t="shared" si="109"/>
        <v>1.5076692239100422</v>
      </c>
      <c r="AC205" s="19">
        <f t="shared" si="91"/>
        <v>0</v>
      </c>
      <c r="AD205" s="19">
        <f t="shared" si="102"/>
        <v>99.804092273934316</v>
      </c>
      <c r="AE205" s="23">
        <f t="shared" si="92"/>
        <v>1102.0280922739344</v>
      </c>
      <c r="AF205" s="27">
        <f>(1/(2*LOG(3.7*$I205/'Calculation Constants'!$B$4*1000)))^2</f>
        <v>1.1575055557914658E-2</v>
      </c>
      <c r="AG205" s="19">
        <f t="shared" si="93"/>
        <v>1.6876908272744866</v>
      </c>
      <c r="AH205" s="19">
        <f>IF($H205&gt;0,'Calculation Constants'!$B$9*Hydraulics!$K205^2/2/9.81/MAX($F$4:$F$263)*$H205,"")</f>
        <v>7.5705987075825154E-2</v>
      </c>
      <c r="AI205" s="19">
        <f t="shared" si="103"/>
        <v>1.7633968143503118</v>
      </c>
      <c r="AJ205" s="19">
        <f t="shared" si="94"/>
        <v>0</v>
      </c>
      <c r="AK205" s="19">
        <f t="shared" si="104"/>
        <v>86.143526687742337</v>
      </c>
      <c r="AL205" s="23">
        <f t="shared" si="95"/>
        <v>1088.3675266877424</v>
      </c>
      <c r="AM205" s="22">
        <f>(1/(2*LOG(3.7*($I205-0.008)/'Calculation Constants'!$B$5*1000)))^2</f>
        <v>1.4709705891825043E-2</v>
      </c>
      <c r="AN205" s="19">
        <f t="shared" si="105"/>
        <v>2.1543104841910781</v>
      </c>
      <c r="AO205" s="19">
        <f>IF($H205&gt;0,'Calculation Constants'!$B$9*Hydraulics!$K205^2/2/9.81/MAX($F$4:$F$263)*$H205,"")</f>
        <v>7.5705987075825154E-2</v>
      </c>
      <c r="AP205" s="19">
        <f t="shared" si="106"/>
        <v>2.2300164712669033</v>
      </c>
      <c r="AQ205" s="19">
        <f t="shared" si="96"/>
        <v>0</v>
      </c>
      <c r="AR205" s="19">
        <f t="shared" si="107"/>
        <v>61.302727870628246</v>
      </c>
      <c r="AS205" s="23">
        <f t="shared" si="97"/>
        <v>1063.5267278706283</v>
      </c>
    </row>
    <row r="206" spans="5:45">
      <c r="E206" s="35" t="str">
        <f t="shared" si="83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8"/>
        <v>2</v>
      </c>
      <c r="I206" s="19">
        <v>1.8</v>
      </c>
      <c r="J206" s="36">
        <f>'Flow Rate Calculations'!$B$7</f>
        <v>4.0831050228310497</v>
      </c>
      <c r="K206" s="36">
        <f t="shared" si="98"/>
        <v>1.6045588828318709</v>
      </c>
      <c r="L206" s="37">
        <f>$I206*$K206/'Calculation Constants'!$B$7</f>
        <v>2555934.503625989</v>
      </c>
      <c r="M206" s="37" t="str">
        <f t="shared" si="84"/>
        <v>Greater Dynamic Pressures</v>
      </c>
      <c r="N206" s="23">
        <f t="shared" si="99"/>
        <v>107.05613134676662</v>
      </c>
      <c r="O206" s="57">
        <f t="shared" si="85"/>
        <v>98.517423050024377</v>
      </c>
      <c r="P206" s="66">
        <f>MAX(I206*1000/'Calculation Constants'!$B$14,O206*10*I206*1000/2/('Calculation Constants'!$B$12*1000*'Calculation Constants'!$B$13))</f>
        <v>11.25</v>
      </c>
      <c r="Q206" s="68">
        <f t="shared" si="86"/>
        <v>992548.40161508287</v>
      </c>
      <c r="R206" s="27">
        <f>(1/(2*LOG(3.7*$I206/'Calculation Constants'!$B$2*1000)))^2</f>
        <v>8.7463077071963571E-3</v>
      </c>
      <c r="S206" s="19">
        <f t="shared" si="100"/>
        <v>1.2752477269849725</v>
      </c>
      <c r="T206" s="19">
        <f>IF($H206&gt;0,'Calculation Constants'!$B$9*Hydraulics!$K206^2/2/9.81/MAX($F$4:$F$263)*$H206,"")</f>
        <v>7.5705987075825154E-2</v>
      </c>
      <c r="U206" s="19">
        <f t="shared" si="101"/>
        <v>1.3509537140607977</v>
      </c>
      <c r="V206" s="19">
        <f t="shared" si="87"/>
        <v>0</v>
      </c>
      <c r="W206" s="19">
        <f t="shared" si="88"/>
        <v>107.05613134676662</v>
      </c>
      <c r="X206" s="23">
        <f t="shared" si="89"/>
        <v>1109.0591313467667</v>
      </c>
      <c r="Y206" s="22">
        <f>(1/(2*LOG(3.7*$I206/'Calculation Constants'!$B$3*1000)))^2</f>
        <v>9.8211436332891755E-3</v>
      </c>
      <c r="Z206" s="19">
        <f t="shared" si="90"/>
        <v>1.431963236834217</v>
      </c>
      <c r="AA206" s="19">
        <f>IF($H206&gt;0,'Calculation Constants'!$B$9*Hydraulics!$K206^2/2/9.81/MAX($F$4:$F$263)*$H206,"")</f>
        <v>7.5705987075825154E-2</v>
      </c>
      <c r="AB206" s="19">
        <f t="shared" si="109"/>
        <v>1.5076692239100422</v>
      </c>
      <c r="AC206" s="19">
        <f t="shared" si="91"/>
        <v>0</v>
      </c>
      <c r="AD206" s="19">
        <f t="shared" si="102"/>
        <v>98.517423050024377</v>
      </c>
      <c r="AE206" s="23">
        <f t="shared" si="92"/>
        <v>1100.5204230500244</v>
      </c>
      <c r="AF206" s="27">
        <f>(1/(2*LOG(3.7*$I206/'Calculation Constants'!$B$4*1000)))^2</f>
        <v>1.1575055557914658E-2</v>
      </c>
      <c r="AG206" s="19">
        <f t="shared" si="93"/>
        <v>1.6876908272744866</v>
      </c>
      <c r="AH206" s="19">
        <f>IF($H206&gt;0,'Calculation Constants'!$B$9*Hydraulics!$K206^2/2/9.81/MAX($F$4:$F$263)*$H206,"")</f>
        <v>7.5705987075825154E-2</v>
      </c>
      <c r="AI206" s="19">
        <f t="shared" si="103"/>
        <v>1.7633968143503118</v>
      </c>
      <c r="AJ206" s="19">
        <f t="shared" si="94"/>
        <v>0</v>
      </c>
      <c r="AK206" s="19">
        <f t="shared" si="104"/>
        <v>84.601129873392097</v>
      </c>
      <c r="AL206" s="23">
        <f t="shared" si="95"/>
        <v>1086.6041298733921</v>
      </c>
      <c r="AM206" s="22">
        <f>(1/(2*LOG(3.7*($I206-0.008)/'Calculation Constants'!$B$5*1000)))^2</f>
        <v>1.4709705891825043E-2</v>
      </c>
      <c r="AN206" s="19">
        <f t="shared" si="105"/>
        <v>2.1543104841910781</v>
      </c>
      <c r="AO206" s="19">
        <f>IF($H206&gt;0,'Calculation Constants'!$B$9*Hydraulics!$K206^2/2/9.81/MAX($F$4:$F$263)*$H206,"")</f>
        <v>7.5705987075825154E-2</v>
      </c>
      <c r="AP206" s="19">
        <f t="shared" si="106"/>
        <v>2.2300164712669033</v>
      </c>
      <c r="AQ206" s="19">
        <f t="shared" si="96"/>
        <v>0</v>
      </c>
      <c r="AR206" s="19">
        <f t="shared" si="107"/>
        <v>59.293711399361314</v>
      </c>
      <c r="AS206" s="23">
        <f t="shared" si="97"/>
        <v>1061.2967113993614</v>
      </c>
    </row>
    <row r="207" spans="5:45">
      <c r="E207" s="35" t="str">
        <f t="shared" si="83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8"/>
        <v>2</v>
      </c>
      <c r="I207" s="19">
        <v>1.8</v>
      </c>
      <c r="J207" s="36">
        <f>'Flow Rate Calculations'!$B$7</f>
        <v>4.0831050228310497</v>
      </c>
      <c r="K207" s="36">
        <f t="shared" si="98"/>
        <v>1.6045588828318709</v>
      </c>
      <c r="L207" s="37">
        <f>$I207*$K207/'Calculation Constants'!$B$7</f>
        <v>2555934.503625989</v>
      </c>
      <c r="M207" s="37" t="str">
        <f t="shared" si="84"/>
        <v>Greater Dynamic Pressures</v>
      </c>
      <c r="N207" s="23">
        <f t="shared" si="99"/>
        <v>104.11217763270588</v>
      </c>
      <c r="O207" s="57">
        <f t="shared" si="85"/>
        <v>95.416753826114473</v>
      </c>
      <c r="P207" s="66">
        <f>MAX(I207*1000/'Calculation Constants'!$B$14,O207*10*I207*1000/2/('Calculation Constants'!$B$12*1000*'Calculation Constants'!$B$13))</f>
        <v>11.25</v>
      </c>
      <c r="Q207" s="68">
        <f t="shared" si="86"/>
        <v>992548.40161508287</v>
      </c>
      <c r="R207" s="27">
        <f>(1/(2*LOG(3.7*$I207/'Calculation Constants'!$B$2*1000)))^2</f>
        <v>8.7463077071963571E-3</v>
      </c>
      <c r="S207" s="19">
        <f t="shared" si="100"/>
        <v>1.2752477269849725</v>
      </c>
      <c r="T207" s="19">
        <f>IF($H207&gt;0,'Calculation Constants'!$B$9*Hydraulics!$K207^2/2/9.81/MAX($F$4:$F$263)*$H207,"")</f>
        <v>7.5705987075825154E-2</v>
      </c>
      <c r="U207" s="19">
        <f t="shared" si="101"/>
        <v>1.3509537140607977</v>
      </c>
      <c r="V207" s="19">
        <f t="shared" si="87"/>
        <v>0</v>
      </c>
      <c r="W207" s="19">
        <f t="shared" si="88"/>
        <v>104.11217763270588</v>
      </c>
      <c r="X207" s="23">
        <f t="shared" si="89"/>
        <v>1107.7081776327059</v>
      </c>
      <c r="Y207" s="22">
        <f>(1/(2*LOG(3.7*$I207/'Calculation Constants'!$B$3*1000)))^2</f>
        <v>9.8211436332891755E-3</v>
      </c>
      <c r="Z207" s="19">
        <f t="shared" si="90"/>
        <v>1.431963236834217</v>
      </c>
      <c r="AA207" s="19">
        <f>IF($H207&gt;0,'Calculation Constants'!$B$9*Hydraulics!$K207^2/2/9.81/MAX($F$4:$F$263)*$H207,"")</f>
        <v>7.5705987075825154E-2</v>
      </c>
      <c r="AB207" s="19">
        <f t="shared" si="109"/>
        <v>1.5076692239100422</v>
      </c>
      <c r="AC207" s="19">
        <f t="shared" si="91"/>
        <v>0</v>
      </c>
      <c r="AD207" s="19">
        <f t="shared" si="102"/>
        <v>95.416753826114473</v>
      </c>
      <c r="AE207" s="23">
        <f t="shared" si="92"/>
        <v>1099.0127538261145</v>
      </c>
      <c r="AF207" s="27">
        <f>(1/(2*LOG(3.7*$I207/'Calculation Constants'!$B$4*1000)))^2</f>
        <v>1.1575055557914658E-2</v>
      </c>
      <c r="AG207" s="19">
        <f t="shared" si="93"/>
        <v>1.6876908272744866</v>
      </c>
      <c r="AH207" s="19">
        <f>IF($H207&gt;0,'Calculation Constants'!$B$9*Hydraulics!$K207^2/2/9.81/MAX($F$4:$F$263)*$H207,"")</f>
        <v>7.5705987075825154E-2</v>
      </c>
      <c r="AI207" s="19">
        <f t="shared" si="103"/>
        <v>1.7633968143503118</v>
      </c>
      <c r="AJ207" s="19">
        <f t="shared" si="94"/>
        <v>0</v>
      </c>
      <c r="AK207" s="19">
        <f t="shared" si="104"/>
        <v>81.244733059041891</v>
      </c>
      <c r="AL207" s="23">
        <f t="shared" si="95"/>
        <v>1084.8407330590419</v>
      </c>
      <c r="AM207" s="22">
        <f>(1/(2*LOG(3.7*($I207-0.008)/'Calculation Constants'!$B$5*1000)))^2</f>
        <v>1.4709705891825043E-2</v>
      </c>
      <c r="AN207" s="19">
        <f t="shared" si="105"/>
        <v>2.1543104841910781</v>
      </c>
      <c r="AO207" s="19">
        <f>IF($H207&gt;0,'Calculation Constants'!$B$9*Hydraulics!$K207^2/2/9.81/MAX($F$4:$F$263)*$H207,"")</f>
        <v>7.5705987075825154E-2</v>
      </c>
      <c r="AP207" s="19">
        <f t="shared" si="106"/>
        <v>2.2300164712669033</v>
      </c>
      <c r="AQ207" s="19">
        <f t="shared" si="96"/>
        <v>0</v>
      </c>
      <c r="AR207" s="19">
        <f t="shared" si="107"/>
        <v>55.470694928094417</v>
      </c>
      <c r="AS207" s="23">
        <f t="shared" si="97"/>
        <v>1059.0666949280944</v>
      </c>
    </row>
    <row r="208" spans="5:45">
      <c r="E208" s="35" t="str">
        <f t="shared" si="83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8"/>
        <v>2</v>
      </c>
      <c r="I208" s="19">
        <v>1.8</v>
      </c>
      <c r="J208" s="36">
        <f>'Flow Rate Calculations'!$B$7</f>
        <v>4.0831050228310497</v>
      </c>
      <c r="K208" s="36">
        <f t="shared" si="98"/>
        <v>1.6045588828318709</v>
      </c>
      <c r="L208" s="37">
        <f>$I208*$K208/'Calculation Constants'!$B$7</f>
        <v>2555934.503625989</v>
      </c>
      <c r="M208" s="37" t="str">
        <f t="shared" si="84"/>
        <v>Greater Dynamic Pressures</v>
      </c>
      <c r="N208" s="23">
        <f t="shared" si="99"/>
        <v>112.24622391864511</v>
      </c>
      <c r="O208" s="57">
        <f t="shared" si="85"/>
        <v>103.39408460220454</v>
      </c>
      <c r="P208" s="66">
        <f>MAX(I208*1000/'Calculation Constants'!$B$14,O208*10*I208*1000/2/('Calculation Constants'!$B$12*1000*'Calculation Constants'!$B$13))</f>
        <v>11.25</v>
      </c>
      <c r="Q208" s="68">
        <f t="shared" si="86"/>
        <v>992548.40161508287</v>
      </c>
      <c r="R208" s="27">
        <f>(1/(2*LOG(3.7*$I208/'Calculation Constants'!$B$2*1000)))^2</f>
        <v>8.7463077071963571E-3</v>
      </c>
      <c r="S208" s="19">
        <f t="shared" si="100"/>
        <v>1.2752477269849725</v>
      </c>
      <c r="T208" s="19">
        <f>IF($H208&gt;0,'Calculation Constants'!$B$9*Hydraulics!$K208^2/2/9.81/MAX($F$4:$F$263)*$H208,"")</f>
        <v>7.5705987075825154E-2</v>
      </c>
      <c r="U208" s="19">
        <f t="shared" si="101"/>
        <v>1.3509537140607977</v>
      </c>
      <c r="V208" s="19">
        <f t="shared" si="87"/>
        <v>0</v>
      </c>
      <c r="W208" s="19">
        <f t="shared" si="88"/>
        <v>112.24622391864511</v>
      </c>
      <c r="X208" s="23">
        <f t="shared" si="89"/>
        <v>1106.3572239186451</v>
      </c>
      <c r="Y208" s="22">
        <f>(1/(2*LOG(3.7*$I208/'Calculation Constants'!$B$3*1000)))^2</f>
        <v>9.8211436332891755E-3</v>
      </c>
      <c r="Z208" s="19">
        <f t="shared" si="90"/>
        <v>1.431963236834217</v>
      </c>
      <c r="AA208" s="19">
        <f>IF($H208&gt;0,'Calculation Constants'!$B$9*Hydraulics!$K208^2/2/9.81/MAX($F$4:$F$263)*$H208,"")</f>
        <v>7.5705987075825154E-2</v>
      </c>
      <c r="AB208" s="19">
        <f t="shared" si="109"/>
        <v>1.5076692239100422</v>
      </c>
      <c r="AC208" s="19">
        <f t="shared" si="91"/>
        <v>0</v>
      </c>
      <c r="AD208" s="19">
        <f t="shared" si="102"/>
        <v>103.39408460220454</v>
      </c>
      <c r="AE208" s="23">
        <f t="shared" si="92"/>
        <v>1097.5050846022045</v>
      </c>
      <c r="AF208" s="27">
        <f>(1/(2*LOG(3.7*$I208/'Calculation Constants'!$B$4*1000)))^2</f>
        <v>1.1575055557914658E-2</v>
      </c>
      <c r="AG208" s="19">
        <f t="shared" si="93"/>
        <v>1.6876908272744866</v>
      </c>
      <c r="AH208" s="19">
        <f>IF($H208&gt;0,'Calculation Constants'!$B$9*Hydraulics!$K208^2/2/9.81/MAX($F$4:$F$263)*$H208,"")</f>
        <v>7.5705987075825154E-2</v>
      </c>
      <c r="AI208" s="19">
        <f t="shared" si="103"/>
        <v>1.7633968143503118</v>
      </c>
      <c r="AJ208" s="19">
        <f t="shared" si="94"/>
        <v>0</v>
      </c>
      <c r="AK208" s="19">
        <f t="shared" si="104"/>
        <v>88.966336244691661</v>
      </c>
      <c r="AL208" s="23">
        <f t="shared" si="95"/>
        <v>1083.0773362446917</v>
      </c>
      <c r="AM208" s="22">
        <f>(1/(2*LOG(3.7*($I208-0.008)/'Calculation Constants'!$B$5*1000)))^2</f>
        <v>1.4709705891825043E-2</v>
      </c>
      <c r="AN208" s="19">
        <f t="shared" si="105"/>
        <v>2.1543104841910781</v>
      </c>
      <c r="AO208" s="19">
        <f>IF($H208&gt;0,'Calculation Constants'!$B$9*Hydraulics!$K208^2/2/9.81/MAX($F$4:$F$263)*$H208,"")</f>
        <v>7.5705987075825154E-2</v>
      </c>
      <c r="AP208" s="19">
        <f t="shared" si="106"/>
        <v>2.2300164712669033</v>
      </c>
      <c r="AQ208" s="19">
        <f t="shared" si="96"/>
        <v>0</v>
      </c>
      <c r="AR208" s="19">
        <f t="shared" si="107"/>
        <v>62.725678456827495</v>
      </c>
      <c r="AS208" s="23">
        <f t="shared" si="97"/>
        <v>1056.8366784568275</v>
      </c>
    </row>
    <row r="209" spans="5:45">
      <c r="E209" s="35" t="str">
        <f t="shared" si="83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8"/>
        <v>2</v>
      </c>
      <c r="I209" s="19">
        <v>1.8</v>
      </c>
      <c r="J209" s="36">
        <f>'Flow Rate Calculations'!$B$7</f>
        <v>4.0831050228310497</v>
      </c>
      <c r="K209" s="36">
        <f t="shared" si="98"/>
        <v>1.6045588828318709</v>
      </c>
      <c r="L209" s="37">
        <f>$I209*$K209/'Calculation Constants'!$B$7</f>
        <v>2555934.503625989</v>
      </c>
      <c r="M209" s="37" t="str">
        <f t="shared" si="84"/>
        <v>Greater Dynamic Pressures</v>
      </c>
      <c r="N209" s="23">
        <f t="shared" si="99"/>
        <v>121.08127020458437</v>
      </c>
      <c r="O209" s="57">
        <f t="shared" si="85"/>
        <v>112.07241537829464</v>
      </c>
      <c r="P209" s="66">
        <f>MAX(I209*1000/'Calculation Constants'!$B$14,O209*10*I209*1000/2/('Calculation Constants'!$B$12*1000*'Calculation Constants'!$B$13))</f>
        <v>11.25</v>
      </c>
      <c r="Q209" s="68">
        <f t="shared" si="86"/>
        <v>992548.40161508287</v>
      </c>
      <c r="R209" s="27">
        <f>(1/(2*LOG(3.7*$I209/'Calculation Constants'!$B$2*1000)))^2</f>
        <v>8.7463077071963571E-3</v>
      </c>
      <c r="S209" s="19">
        <f t="shared" si="100"/>
        <v>1.2752477269849725</v>
      </c>
      <c r="T209" s="19">
        <f>IF($H209&gt;0,'Calculation Constants'!$B$9*Hydraulics!$K209^2/2/9.81/MAX($F$4:$F$263)*$H209,"")</f>
        <v>7.5705987075825154E-2</v>
      </c>
      <c r="U209" s="19">
        <f t="shared" si="101"/>
        <v>1.3509537140607977</v>
      </c>
      <c r="V209" s="19">
        <f t="shared" si="87"/>
        <v>0</v>
      </c>
      <c r="W209" s="19">
        <f t="shared" si="88"/>
        <v>121.08127020458437</v>
      </c>
      <c r="X209" s="23">
        <f t="shared" si="89"/>
        <v>1105.0062702045843</v>
      </c>
      <c r="Y209" s="22">
        <f>(1/(2*LOG(3.7*$I209/'Calculation Constants'!$B$3*1000)))^2</f>
        <v>9.8211436332891755E-3</v>
      </c>
      <c r="Z209" s="19">
        <f t="shared" si="90"/>
        <v>1.431963236834217</v>
      </c>
      <c r="AA209" s="19">
        <f>IF($H209&gt;0,'Calculation Constants'!$B$9*Hydraulics!$K209^2/2/9.81/MAX($F$4:$F$263)*$H209,"")</f>
        <v>7.5705987075825154E-2</v>
      </c>
      <c r="AB209" s="19">
        <f t="shared" si="109"/>
        <v>1.5076692239100422</v>
      </c>
      <c r="AC209" s="19">
        <f t="shared" si="91"/>
        <v>0</v>
      </c>
      <c r="AD209" s="19">
        <f t="shared" si="102"/>
        <v>112.07241537829464</v>
      </c>
      <c r="AE209" s="23">
        <f t="shared" si="92"/>
        <v>1095.9974153782946</v>
      </c>
      <c r="AF209" s="27">
        <f>(1/(2*LOG(3.7*$I209/'Calculation Constants'!$B$4*1000)))^2</f>
        <v>1.1575055557914658E-2</v>
      </c>
      <c r="AG209" s="19">
        <f t="shared" si="93"/>
        <v>1.6876908272744866</v>
      </c>
      <c r="AH209" s="19">
        <f>IF($H209&gt;0,'Calculation Constants'!$B$9*Hydraulics!$K209^2/2/9.81/MAX($F$4:$F$263)*$H209,"")</f>
        <v>7.5705987075825154E-2</v>
      </c>
      <c r="AI209" s="19">
        <f t="shared" si="103"/>
        <v>1.7633968143503118</v>
      </c>
      <c r="AJ209" s="19">
        <f t="shared" si="94"/>
        <v>0</v>
      </c>
      <c r="AK209" s="19">
        <f t="shared" si="104"/>
        <v>97.388939430341452</v>
      </c>
      <c r="AL209" s="23">
        <f t="shared" si="95"/>
        <v>1081.3139394303414</v>
      </c>
      <c r="AM209" s="22">
        <f>(1/(2*LOG(3.7*($I209-0.008)/'Calculation Constants'!$B$5*1000)))^2</f>
        <v>1.4709705891825043E-2</v>
      </c>
      <c r="AN209" s="19">
        <f t="shared" si="105"/>
        <v>2.1543104841910781</v>
      </c>
      <c r="AO209" s="19">
        <f>IF($H209&gt;0,'Calculation Constants'!$B$9*Hydraulics!$K209^2/2/9.81/MAX($F$4:$F$263)*$H209,"")</f>
        <v>7.5705987075825154E-2</v>
      </c>
      <c r="AP209" s="19">
        <f t="shared" si="106"/>
        <v>2.2300164712669033</v>
      </c>
      <c r="AQ209" s="19">
        <f t="shared" si="96"/>
        <v>0</v>
      </c>
      <c r="AR209" s="19">
        <f t="shared" si="107"/>
        <v>70.681661985560595</v>
      </c>
      <c r="AS209" s="23">
        <f t="shared" si="97"/>
        <v>1054.6066619855605</v>
      </c>
    </row>
    <row r="210" spans="5:45">
      <c r="E210" s="35" t="str">
        <f t="shared" si="83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8"/>
        <v>2</v>
      </c>
      <c r="I210" s="19">
        <v>1.8</v>
      </c>
      <c r="J210" s="36">
        <f>'Flow Rate Calculations'!$B$7</f>
        <v>4.0831050228310497</v>
      </c>
      <c r="K210" s="36">
        <f t="shared" si="98"/>
        <v>1.6045588828318709</v>
      </c>
      <c r="L210" s="37">
        <f>$I210*$K210/'Calculation Constants'!$B$7</f>
        <v>2555934.503625989</v>
      </c>
      <c r="M210" s="37" t="str">
        <f t="shared" si="84"/>
        <v>Greater Dynamic Pressures</v>
      </c>
      <c r="N210" s="23">
        <f t="shared" si="99"/>
        <v>131.30831649052357</v>
      </c>
      <c r="O210" s="57">
        <f t="shared" si="85"/>
        <v>122.14274615438467</v>
      </c>
      <c r="P210" s="66">
        <f>MAX(I210*1000/'Calculation Constants'!$B$14,O210*10*I210*1000/2/('Calculation Constants'!$B$12*1000*'Calculation Constants'!$B$13))</f>
        <v>11.25</v>
      </c>
      <c r="Q210" s="68">
        <f t="shared" si="86"/>
        <v>992548.40161508287</v>
      </c>
      <c r="R210" s="27">
        <f>(1/(2*LOG(3.7*$I210/'Calculation Constants'!$B$2*1000)))^2</f>
        <v>8.7463077071963571E-3</v>
      </c>
      <c r="S210" s="19">
        <f t="shared" si="100"/>
        <v>1.2752477269849725</v>
      </c>
      <c r="T210" s="19">
        <f>IF($H210&gt;0,'Calculation Constants'!$B$9*Hydraulics!$K210^2/2/9.81/MAX($F$4:$F$263)*$H210,"")</f>
        <v>7.5705987075825154E-2</v>
      </c>
      <c r="U210" s="19">
        <f t="shared" si="101"/>
        <v>1.3509537140607977</v>
      </c>
      <c r="V210" s="19">
        <f t="shared" si="87"/>
        <v>0</v>
      </c>
      <c r="W210" s="19">
        <f t="shared" si="88"/>
        <v>131.30831649052357</v>
      </c>
      <c r="X210" s="23">
        <f t="shared" si="89"/>
        <v>1103.6553164905235</v>
      </c>
      <c r="Y210" s="22">
        <f>(1/(2*LOG(3.7*$I210/'Calculation Constants'!$B$3*1000)))^2</f>
        <v>9.8211436332891755E-3</v>
      </c>
      <c r="Z210" s="19">
        <f t="shared" si="90"/>
        <v>1.431963236834217</v>
      </c>
      <c r="AA210" s="19">
        <f>IF($H210&gt;0,'Calculation Constants'!$B$9*Hydraulics!$K210^2/2/9.81/MAX($F$4:$F$263)*$H210,"")</f>
        <v>7.5705987075825154E-2</v>
      </c>
      <c r="AB210" s="19">
        <f t="shared" si="109"/>
        <v>1.5076692239100422</v>
      </c>
      <c r="AC210" s="19">
        <f t="shared" si="91"/>
        <v>0</v>
      </c>
      <c r="AD210" s="19">
        <f t="shared" si="102"/>
        <v>122.14274615438467</v>
      </c>
      <c r="AE210" s="23">
        <f t="shared" si="92"/>
        <v>1094.4897461543846</v>
      </c>
      <c r="AF210" s="27">
        <f>(1/(2*LOG(3.7*$I210/'Calculation Constants'!$B$4*1000)))^2</f>
        <v>1.1575055557914658E-2</v>
      </c>
      <c r="AG210" s="19">
        <f t="shared" si="93"/>
        <v>1.6876908272744866</v>
      </c>
      <c r="AH210" s="19">
        <f>IF($H210&gt;0,'Calculation Constants'!$B$9*Hydraulics!$K210^2/2/9.81/MAX($F$4:$F$263)*$H210,"")</f>
        <v>7.5705987075825154E-2</v>
      </c>
      <c r="AI210" s="19">
        <f t="shared" si="103"/>
        <v>1.7633968143503118</v>
      </c>
      <c r="AJ210" s="19">
        <f t="shared" si="94"/>
        <v>0</v>
      </c>
      <c r="AK210" s="19">
        <f t="shared" si="104"/>
        <v>107.20354261599118</v>
      </c>
      <c r="AL210" s="23">
        <f t="shared" si="95"/>
        <v>1079.5505426159912</v>
      </c>
      <c r="AM210" s="22">
        <f>(1/(2*LOG(3.7*($I210-0.008)/'Calculation Constants'!$B$5*1000)))^2</f>
        <v>1.4709705891825043E-2</v>
      </c>
      <c r="AN210" s="19">
        <f t="shared" si="105"/>
        <v>2.1543104841910781</v>
      </c>
      <c r="AO210" s="19">
        <f>IF($H210&gt;0,'Calculation Constants'!$B$9*Hydraulics!$K210^2/2/9.81/MAX($F$4:$F$263)*$H210,"")</f>
        <v>7.5705987075825154E-2</v>
      </c>
      <c r="AP210" s="19">
        <f t="shared" si="106"/>
        <v>2.2300164712669033</v>
      </c>
      <c r="AQ210" s="19">
        <f t="shared" si="96"/>
        <v>0</v>
      </c>
      <c r="AR210" s="19">
        <f t="shared" si="107"/>
        <v>80.029645514293634</v>
      </c>
      <c r="AS210" s="23">
        <f t="shared" si="97"/>
        <v>1052.3766455142936</v>
      </c>
    </row>
    <row r="211" spans="5:45">
      <c r="E211" s="35" t="str">
        <f t="shared" si="83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8"/>
        <v>2</v>
      </c>
      <c r="I211" s="19">
        <v>1.8</v>
      </c>
      <c r="J211" s="36">
        <f>'Flow Rate Calculations'!$B$7</f>
        <v>4.0831050228310497</v>
      </c>
      <c r="K211" s="36">
        <f t="shared" si="98"/>
        <v>1.6045588828318709</v>
      </c>
      <c r="L211" s="37">
        <f>$I211*$K211/'Calculation Constants'!$B$7</f>
        <v>2555934.503625989</v>
      </c>
      <c r="M211" s="37" t="str">
        <f t="shared" si="84"/>
        <v>Greater Dynamic Pressures</v>
      </c>
      <c r="N211" s="23">
        <f t="shared" si="99"/>
        <v>138.40336277646281</v>
      </c>
      <c r="O211" s="57">
        <f t="shared" si="85"/>
        <v>129.08107693047475</v>
      </c>
      <c r="P211" s="66">
        <f>MAX(I211*1000/'Calculation Constants'!$B$14,O211*10*I211*1000/2/('Calculation Constants'!$B$12*1000*'Calculation Constants'!$B$13))</f>
        <v>11.25</v>
      </c>
      <c r="Q211" s="68">
        <f t="shared" si="86"/>
        <v>992548.40161508287</v>
      </c>
      <c r="R211" s="27">
        <f>(1/(2*LOG(3.7*$I211/'Calculation Constants'!$B$2*1000)))^2</f>
        <v>8.7463077071963571E-3</v>
      </c>
      <c r="S211" s="19">
        <f t="shared" si="100"/>
        <v>1.2752477269849725</v>
      </c>
      <c r="T211" s="19">
        <f>IF($H211&gt;0,'Calculation Constants'!$B$9*Hydraulics!$K211^2/2/9.81/MAX($F$4:$F$263)*$H211,"")</f>
        <v>7.5705987075825154E-2</v>
      </c>
      <c r="U211" s="19">
        <f t="shared" si="101"/>
        <v>1.3509537140607977</v>
      </c>
      <c r="V211" s="19">
        <f t="shared" si="87"/>
        <v>0</v>
      </c>
      <c r="W211" s="19">
        <f t="shared" si="88"/>
        <v>138.40336277646281</v>
      </c>
      <c r="X211" s="23">
        <f t="shared" si="89"/>
        <v>1102.3043627764628</v>
      </c>
      <c r="Y211" s="22">
        <f>(1/(2*LOG(3.7*$I211/'Calculation Constants'!$B$3*1000)))^2</f>
        <v>9.8211436332891755E-3</v>
      </c>
      <c r="Z211" s="19">
        <f t="shared" si="90"/>
        <v>1.431963236834217</v>
      </c>
      <c r="AA211" s="19">
        <f>IF($H211&gt;0,'Calculation Constants'!$B$9*Hydraulics!$K211^2/2/9.81/MAX($F$4:$F$263)*$H211,"")</f>
        <v>7.5705987075825154E-2</v>
      </c>
      <c r="AB211" s="19">
        <f t="shared" si="109"/>
        <v>1.5076692239100422</v>
      </c>
      <c r="AC211" s="19">
        <f t="shared" si="91"/>
        <v>0</v>
      </c>
      <c r="AD211" s="19">
        <f t="shared" si="102"/>
        <v>129.08107693047475</v>
      </c>
      <c r="AE211" s="23">
        <f t="shared" si="92"/>
        <v>1092.9820769304747</v>
      </c>
      <c r="AF211" s="27">
        <f>(1/(2*LOG(3.7*$I211/'Calculation Constants'!$B$4*1000)))^2</f>
        <v>1.1575055557914658E-2</v>
      </c>
      <c r="AG211" s="19">
        <f t="shared" si="93"/>
        <v>1.6876908272744866</v>
      </c>
      <c r="AH211" s="19">
        <f>IF($H211&gt;0,'Calculation Constants'!$B$9*Hydraulics!$K211^2/2/9.81/MAX($F$4:$F$263)*$H211,"")</f>
        <v>7.5705987075825154E-2</v>
      </c>
      <c r="AI211" s="19">
        <f t="shared" si="103"/>
        <v>1.7633968143503118</v>
      </c>
      <c r="AJ211" s="19">
        <f t="shared" si="94"/>
        <v>0</v>
      </c>
      <c r="AK211" s="19">
        <f t="shared" si="104"/>
        <v>113.88614580164096</v>
      </c>
      <c r="AL211" s="23">
        <f t="shared" si="95"/>
        <v>1077.7871458016409</v>
      </c>
      <c r="AM211" s="22">
        <f>(1/(2*LOG(3.7*($I211-0.008)/'Calculation Constants'!$B$5*1000)))^2</f>
        <v>1.4709705891825043E-2</v>
      </c>
      <c r="AN211" s="19">
        <f t="shared" si="105"/>
        <v>2.1543104841910781</v>
      </c>
      <c r="AO211" s="19">
        <f>IF($H211&gt;0,'Calculation Constants'!$B$9*Hydraulics!$K211^2/2/9.81/MAX($F$4:$F$263)*$H211,"")</f>
        <v>7.5705987075825154E-2</v>
      </c>
      <c r="AP211" s="19">
        <f t="shared" si="106"/>
        <v>2.2300164712669033</v>
      </c>
      <c r="AQ211" s="19">
        <f t="shared" si="96"/>
        <v>0</v>
      </c>
      <c r="AR211" s="19">
        <f t="shared" si="107"/>
        <v>86.245629043026725</v>
      </c>
      <c r="AS211" s="23">
        <f t="shared" si="97"/>
        <v>1050.1466290430267</v>
      </c>
    </row>
    <row r="212" spans="5:45">
      <c r="E212" s="35" t="str">
        <f t="shared" si="83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8"/>
        <v>2</v>
      </c>
      <c r="I212" s="19">
        <v>1.8</v>
      </c>
      <c r="J212" s="36">
        <f>'Flow Rate Calculations'!$B$7</f>
        <v>4.0831050228310497</v>
      </c>
      <c r="K212" s="36">
        <f t="shared" si="98"/>
        <v>1.6045588828318709</v>
      </c>
      <c r="L212" s="37">
        <f>$I212*$K212/'Calculation Constants'!$B$7</f>
        <v>2555934.503625989</v>
      </c>
      <c r="M212" s="37" t="str">
        <f t="shared" si="84"/>
        <v>Greater Dynamic Pressures</v>
      </c>
      <c r="N212" s="23">
        <f t="shared" si="99"/>
        <v>137.69540906240195</v>
      </c>
      <c r="O212" s="57">
        <f t="shared" si="85"/>
        <v>128.21640770656472</v>
      </c>
      <c r="P212" s="66">
        <f>MAX(I212*1000/'Calculation Constants'!$B$14,O212*10*I212*1000/2/('Calculation Constants'!$B$12*1000*'Calculation Constants'!$B$13))</f>
        <v>11.25</v>
      </c>
      <c r="Q212" s="68">
        <f t="shared" si="86"/>
        <v>992548.40161508287</v>
      </c>
      <c r="R212" s="27">
        <f>(1/(2*LOG(3.7*$I212/'Calculation Constants'!$B$2*1000)))^2</f>
        <v>8.7463077071963571E-3</v>
      </c>
      <c r="S212" s="19">
        <f t="shared" si="100"/>
        <v>1.2752477269849725</v>
      </c>
      <c r="T212" s="19">
        <f>IF($H212&gt;0,'Calculation Constants'!$B$9*Hydraulics!$K212^2/2/9.81/MAX($F$4:$F$263)*$H212,"")</f>
        <v>7.5705987075825154E-2</v>
      </c>
      <c r="U212" s="19">
        <f t="shared" si="101"/>
        <v>1.3509537140607977</v>
      </c>
      <c r="V212" s="19">
        <f t="shared" si="87"/>
        <v>0</v>
      </c>
      <c r="W212" s="19">
        <f t="shared" si="88"/>
        <v>137.69540906240195</v>
      </c>
      <c r="X212" s="23">
        <f t="shared" si="89"/>
        <v>1100.953409062402</v>
      </c>
      <c r="Y212" s="22">
        <f>(1/(2*LOG(3.7*$I212/'Calculation Constants'!$B$3*1000)))^2</f>
        <v>9.8211436332891755E-3</v>
      </c>
      <c r="Z212" s="19">
        <f t="shared" si="90"/>
        <v>1.431963236834217</v>
      </c>
      <c r="AA212" s="19">
        <f>IF($H212&gt;0,'Calculation Constants'!$B$9*Hydraulics!$K212^2/2/9.81/MAX($F$4:$F$263)*$H212,"")</f>
        <v>7.5705987075825154E-2</v>
      </c>
      <c r="AB212" s="19">
        <f t="shared" si="109"/>
        <v>1.5076692239100422</v>
      </c>
      <c r="AC212" s="19">
        <f t="shared" si="91"/>
        <v>0</v>
      </c>
      <c r="AD212" s="19">
        <f t="shared" si="102"/>
        <v>128.21640770656472</v>
      </c>
      <c r="AE212" s="23">
        <f t="shared" si="92"/>
        <v>1091.4744077065648</v>
      </c>
      <c r="AF212" s="27">
        <f>(1/(2*LOG(3.7*$I212/'Calculation Constants'!$B$4*1000)))^2</f>
        <v>1.1575055557914658E-2</v>
      </c>
      <c r="AG212" s="19">
        <f t="shared" si="93"/>
        <v>1.6876908272744866</v>
      </c>
      <c r="AH212" s="19">
        <f>IF($H212&gt;0,'Calculation Constants'!$B$9*Hydraulics!$K212^2/2/9.81/MAX($F$4:$F$263)*$H212,"")</f>
        <v>7.5705987075825154E-2</v>
      </c>
      <c r="AI212" s="19">
        <f t="shared" si="103"/>
        <v>1.7633968143503118</v>
      </c>
      <c r="AJ212" s="19">
        <f t="shared" si="94"/>
        <v>0</v>
      </c>
      <c r="AK212" s="19">
        <f t="shared" si="104"/>
        <v>112.76574898729064</v>
      </c>
      <c r="AL212" s="23">
        <f t="shared" si="95"/>
        <v>1076.0237489872907</v>
      </c>
      <c r="AM212" s="22">
        <f>(1/(2*LOG(3.7*($I212-0.008)/'Calculation Constants'!$B$5*1000)))^2</f>
        <v>1.4709705891825043E-2</v>
      </c>
      <c r="AN212" s="19">
        <f t="shared" si="105"/>
        <v>2.1543104841910781</v>
      </c>
      <c r="AO212" s="19">
        <f>IF($H212&gt;0,'Calculation Constants'!$B$9*Hydraulics!$K212^2/2/9.81/MAX($F$4:$F$263)*$H212,"")</f>
        <v>7.5705987075825154E-2</v>
      </c>
      <c r="AP212" s="19">
        <f t="shared" si="106"/>
        <v>2.2300164712669033</v>
      </c>
      <c r="AQ212" s="19">
        <f t="shared" si="96"/>
        <v>0</v>
      </c>
      <c r="AR212" s="19">
        <f t="shared" si="107"/>
        <v>84.658612571759704</v>
      </c>
      <c r="AS212" s="23">
        <f t="shared" si="97"/>
        <v>1047.9166125717597</v>
      </c>
    </row>
    <row r="213" spans="5:45">
      <c r="E213" s="35" t="str">
        <f t="shared" si="83"/>
        <v/>
      </c>
      <c r="F213" s="19">
        <f>'Profile data'!A213</f>
        <v>420</v>
      </c>
      <c r="G213" s="19">
        <f>VLOOKUP(F213,'Profile data'!A213:C472,IF($B$22="Botswana 1",2,3))</f>
        <v>965.83600000000001</v>
      </c>
      <c r="H213" s="19">
        <f t="shared" si="108"/>
        <v>2</v>
      </c>
      <c r="I213" s="19">
        <v>1.8</v>
      </c>
      <c r="J213" s="36">
        <f>'Flow Rate Calculations'!$B$7</f>
        <v>4.0831050228310497</v>
      </c>
      <c r="K213" s="36">
        <f t="shared" si="98"/>
        <v>1.6045588828318709</v>
      </c>
      <c r="L213" s="37">
        <f>$I213*$K213/'Calculation Constants'!$B$7</f>
        <v>2555934.503625989</v>
      </c>
      <c r="M213" s="37" t="str">
        <f t="shared" si="84"/>
        <v>Greater Dynamic Pressures</v>
      </c>
      <c r="N213" s="23">
        <f t="shared" si="99"/>
        <v>133.7664553483412</v>
      </c>
      <c r="O213" s="57">
        <f t="shared" si="85"/>
        <v>124.13073848265481</v>
      </c>
      <c r="P213" s="66">
        <f>MAX(I213*1000/'Calculation Constants'!$B$14,O213*10*I213*1000/2/('Calculation Constants'!$B$12*1000*'Calculation Constants'!$B$13))</f>
        <v>11.25</v>
      </c>
      <c r="Q213" s="68">
        <f t="shared" si="86"/>
        <v>992548.40161508287</v>
      </c>
      <c r="R213" s="27">
        <f>(1/(2*LOG(3.7*$I213/'Calculation Constants'!$B$2*1000)))^2</f>
        <v>8.7463077071963571E-3</v>
      </c>
      <c r="S213" s="19">
        <f t="shared" si="100"/>
        <v>1.2752477269849725</v>
      </c>
      <c r="T213" s="19">
        <f>IF($H213&gt;0,'Calculation Constants'!$B$9*Hydraulics!$K213^2/2/9.81/MAX($F$4:$F$263)*$H213,"")</f>
        <v>7.5705987075825154E-2</v>
      </c>
      <c r="U213" s="19">
        <f t="shared" si="101"/>
        <v>1.3509537140607977</v>
      </c>
      <c r="V213" s="19">
        <f t="shared" si="87"/>
        <v>0</v>
      </c>
      <c r="W213" s="19">
        <f t="shared" si="88"/>
        <v>133.7664553483412</v>
      </c>
      <c r="X213" s="23">
        <f t="shared" si="89"/>
        <v>1099.6024553483412</v>
      </c>
      <c r="Y213" s="22">
        <f>(1/(2*LOG(3.7*$I213/'Calculation Constants'!$B$3*1000)))^2</f>
        <v>9.8211436332891755E-3</v>
      </c>
      <c r="Z213" s="19">
        <f t="shared" si="90"/>
        <v>1.431963236834217</v>
      </c>
      <c r="AA213" s="19">
        <f>IF($H213&gt;0,'Calculation Constants'!$B$9*Hydraulics!$K213^2/2/9.81/MAX($F$4:$F$263)*$H213,"")</f>
        <v>7.5705987075825154E-2</v>
      </c>
      <c r="AB213" s="19">
        <f t="shared" si="109"/>
        <v>1.5076692239100422</v>
      </c>
      <c r="AC213" s="19">
        <f t="shared" si="91"/>
        <v>0</v>
      </c>
      <c r="AD213" s="19">
        <f t="shared" si="102"/>
        <v>124.13073848265481</v>
      </c>
      <c r="AE213" s="23">
        <f t="shared" si="92"/>
        <v>1089.9667384826548</v>
      </c>
      <c r="AF213" s="27">
        <f>(1/(2*LOG(3.7*$I213/'Calculation Constants'!$B$4*1000)))^2</f>
        <v>1.1575055557914658E-2</v>
      </c>
      <c r="AG213" s="19">
        <f t="shared" si="93"/>
        <v>1.6876908272744866</v>
      </c>
      <c r="AH213" s="19">
        <f>IF($H213&gt;0,'Calculation Constants'!$B$9*Hydraulics!$K213^2/2/9.81/MAX($F$4:$F$263)*$H213,"")</f>
        <v>7.5705987075825154E-2</v>
      </c>
      <c r="AI213" s="19">
        <f t="shared" si="103"/>
        <v>1.7633968143503118</v>
      </c>
      <c r="AJ213" s="19">
        <f t="shared" si="94"/>
        <v>0</v>
      </c>
      <c r="AK213" s="19">
        <f t="shared" si="104"/>
        <v>108.42435217294042</v>
      </c>
      <c r="AL213" s="23">
        <f t="shared" si="95"/>
        <v>1074.2603521729404</v>
      </c>
      <c r="AM213" s="22">
        <f>(1/(2*LOG(3.7*($I213-0.008)/'Calculation Constants'!$B$5*1000)))^2</f>
        <v>1.4709705891825043E-2</v>
      </c>
      <c r="AN213" s="19">
        <f t="shared" si="105"/>
        <v>2.1543104841910781</v>
      </c>
      <c r="AO213" s="19">
        <f>IF($H213&gt;0,'Calculation Constants'!$B$9*Hydraulics!$K213^2/2/9.81/MAX($F$4:$F$263)*$H213,"")</f>
        <v>7.5705987075825154E-2</v>
      </c>
      <c r="AP213" s="19">
        <f t="shared" si="106"/>
        <v>2.2300164712669033</v>
      </c>
      <c r="AQ213" s="19">
        <f t="shared" si="96"/>
        <v>0</v>
      </c>
      <c r="AR213" s="19">
        <f t="shared" si="107"/>
        <v>79.850596100492794</v>
      </c>
      <c r="AS213" s="23">
        <f t="shared" si="97"/>
        <v>1045.6865961004928</v>
      </c>
    </row>
    <row r="214" spans="5:45">
      <c r="E214" s="35" t="str">
        <f t="shared" si="83"/>
        <v/>
      </c>
      <c r="F214" s="19">
        <f>'Profile data'!A214</f>
        <v>422</v>
      </c>
      <c r="G214" s="19">
        <f>VLOOKUP(F214,'Profile data'!A214:C473,IF($B$22="Botswana 1",2,3))</f>
        <v>966.30899999999997</v>
      </c>
      <c r="H214" s="19">
        <f t="shared" si="108"/>
        <v>2</v>
      </c>
      <c r="I214" s="19">
        <v>1.8</v>
      </c>
      <c r="J214" s="36">
        <f>'Flow Rate Calculations'!$B$7</f>
        <v>4.0831050228310497</v>
      </c>
      <c r="K214" s="36">
        <f t="shared" si="98"/>
        <v>1.6045588828318709</v>
      </c>
      <c r="L214" s="37">
        <f>$I214*$K214/'Calculation Constants'!$B$7</f>
        <v>2555934.503625989</v>
      </c>
      <c r="M214" s="37" t="str">
        <f t="shared" si="84"/>
        <v>Greater Dynamic Pressures</v>
      </c>
      <c r="N214" s="23">
        <f t="shared" si="99"/>
        <v>131.94250163428046</v>
      </c>
      <c r="O214" s="57">
        <f t="shared" si="85"/>
        <v>122.15006925874491</v>
      </c>
      <c r="P214" s="66">
        <f>MAX(I214*1000/'Calculation Constants'!$B$14,O214*10*I214*1000/2/('Calculation Constants'!$B$12*1000*'Calculation Constants'!$B$13))</f>
        <v>11.25</v>
      </c>
      <c r="Q214" s="68">
        <f t="shared" si="86"/>
        <v>992548.40161508287</v>
      </c>
      <c r="R214" s="27">
        <f>(1/(2*LOG(3.7*$I214/'Calculation Constants'!$B$2*1000)))^2</f>
        <v>8.7463077071963571E-3</v>
      </c>
      <c r="S214" s="19">
        <f t="shared" si="100"/>
        <v>1.2752477269849725</v>
      </c>
      <c r="T214" s="19">
        <f>IF($H214&gt;0,'Calculation Constants'!$B$9*Hydraulics!$K214^2/2/9.81/MAX($F$4:$F$263)*$H214,"")</f>
        <v>7.5705987075825154E-2</v>
      </c>
      <c r="U214" s="19">
        <f t="shared" si="101"/>
        <v>1.3509537140607977</v>
      </c>
      <c r="V214" s="19">
        <f t="shared" si="87"/>
        <v>0</v>
      </c>
      <c r="W214" s="19">
        <f t="shared" si="88"/>
        <v>131.94250163428046</v>
      </c>
      <c r="X214" s="23">
        <f t="shared" si="89"/>
        <v>1098.2515016342804</v>
      </c>
      <c r="Y214" s="22">
        <f>(1/(2*LOG(3.7*$I214/'Calculation Constants'!$B$3*1000)))^2</f>
        <v>9.8211436332891755E-3</v>
      </c>
      <c r="Z214" s="19">
        <f t="shared" si="90"/>
        <v>1.431963236834217</v>
      </c>
      <c r="AA214" s="19">
        <f>IF($H214&gt;0,'Calculation Constants'!$B$9*Hydraulics!$K214^2/2/9.81/MAX($F$4:$F$263)*$H214,"")</f>
        <v>7.5705987075825154E-2</v>
      </c>
      <c r="AB214" s="19">
        <f t="shared" si="109"/>
        <v>1.5076692239100422</v>
      </c>
      <c r="AC214" s="19">
        <f t="shared" si="91"/>
        <v>0</v>
      </c>
      <c r="AD214" s="19">
        <f t="shared" si="102"/>
        <v>122.15006925874491</v>
      </c>
      <c r="AE214" s="23">
        <f t="shared" si="92"/>
        <v>1088.4590692587449</v>
      </c>
      <c r="AF214" s="27">
        <f>(1/(2*LOG(3.7*$I214/'Calculation Constants'!$B$4*1000)))^2</f>
        <v>1.1575055557914658E-2</v>
      </c>
      <c r="AG214" s="19">
        <f t="shared" si="93"/>
        <v>1.6876908272744866</v>
      </c>
      <c r="AH214" s="19">
        <f>IF($H214&gt;0,'Calculation Constants'!$B$9*Hydraulics!$K214^2/2/9.81/MAX($F$4:$F$263)*$H214,"")</f>
        <v>7.5705987075825154E-2</v>
      </c>
      <c r="AI214" s="19">
        <f t="shared" si="103"/>
        <v>1.7633968143503118</v>
      </c>
      <c r="AJ214" s="19">
        <f t="shared" si="94"/>
        <v>0</v>
      </c>
      <c r="AK214" s="19">
        <f t="shared" si="104"/>
        <v>106.18795535859022</v>
      </c>
      <c r="AL214" s="23">
        <f t="shared" si="95"/>
        <v>1072.4969553585902</v>
      </c>
      <c r="AM214" s="22">
        <f>(1/(2*LOG(3.7*($I214-0.008)/'Calculation Constants'!$B$5*1000)))^2</f>
        <v>1.4709705891825043E-2</v>
      </c>
      <c r="AN214" s="19">
        <f t="shared" si="105"/>
        <v>2.1543104841910781</v>
      </c>
      <c r="AO214" s="19">
        <f>IF($H214&gt;0,'Calculation Constants'!$B$9*Hydraulics!$K214^2/2/9.81/MAX($F$4:$F$263)*$H214,"")</f>
        <v>7.5705987075825154E-2</v>
      </c>
      <c r="AP214" s="19">
        <f t="shared" si="106"/>
        <v>2.2300164712669033</v>
      </c>
      <c r="AQ214" s="19">
        <f t="shared" si="96"/>
        <v>0</v>
      </c>
      <c r="AR214" s="19">
        <f t="shared" si="107"/>
        <v>77.147579629225902</v>
      </c>
      <c r="AS214" s="23">
        <f t="shared" si="97"/>
        <v>1043.4565796292259</v>
      </c>
    </row>
    <row r="215" spans="5:45">
      <c r="E215" s="35" t="str">
        <f t="shared" si="83"/>
        <v/>
      </c>
      <c r="F215" s="19">
        <f>'Profile data'!A215</f>
        <v>424</v>
      </c>
      <c r="G215" s="19">
        <f>VLOOKUP(F215,'Profile data'!A215:C474,IF($B$22="Botswana 1",2,3))</f>
        <v>972.88400000000001</v>
      </c>
      <c r="H215" s="19">
        <f t="shared" si="108"/>
        <v>2</v>
      </c>
      <c r="I215" s="19">
        <v>1.8</v>
      </c>
      <c r="J215" s="36">
        <f>'Flow Rate Calculations'!$B$7</f>
        <v>4.0831050228310497</v>
      </c>
      <c r="K215" s="36">
        <f t="shared" si="98"/>
        <v>1.6045588828318709</v>
      </c>
      <c r="L215" s="37">
        <f>$I215*$K215/'Calculation Constants'!$B$7</f>
        <v>2555934.503625989</v>
      </c>
      <c r="M215" s="37" t="str">
        <f t="shared" si="84"/>
        <v>Greater Dynamic Pressures</v>
      </c>
      <c r="N215" s="23">
        <f t="shared" si="99"/>
        <v>124.01654792021964</v>
      </c>
      <c r="O215" s="57">
        <f t="shared" si="85"/>
        <v>114.06740003483492</v>
      </c>
      <c r="P215" s="66">
        <f>MAX(I215*1000/'Calculation Constants'!$B$14,O215*10*I215*1000/2/('Calculation Constants'!$B$12*1000*'Calculation Constants'!$B$13))</f>
        <v>11.25</v>
      </c>
      <c r="Q215" s="68">
        <f t="shared" si="86"/>
        <v>992548.40161508287</v>
      </c>
      <c r="R215" s="27">
        <f>(1/(2*LOG(3.7*$I215/'Calculation Constants'!$B$2*1000)))^2</f>
        <v>8.7463077071963571E-3</v>
      </c>
      <c r="S215" s="19">
        <f t="shared" si="100"/>
        <v>1.2752477269849725</v>
      </c>
      <c r="T215" s="19">
        <f>IF($H215&gt;0,'Calculation Constants'!$B$9*Hydraulics!$K215^2/2/9.81/MAX($F$4:$F$263)*$H215,"")</f>
        <v>7.5705987075825154E-2</v>
      </c>
      <c r="U215" s="19">
        <f t="shared" si="101"/>
        <v>1.3509537140607977</v>
      </c>
      <c r="V215" s="19">
        <f t="shared" si="87"/>
        <v>0</v>
      </c>
      <c r="W215" s="19">
        <f t="shared" si="88"/>
        <v>124.01654792021964</v>
      </c>
      <c r="X215" s="23">
        <f t="shared" si="89"/>
        <v>1096.9005479202197</v>
      </c>
      <c r="Y215" s="22">
        <f>(1/(2*LOG(3.7*$I215/'Calculation Constants'!$B$3*1000)))^2</f>
        <v>9.8211436332891755E-3</v>
      </c>
      <c r="Z215" s="19">
        <f t="shared" si="90"/>
        <v>1.431963236834217</v>
      </c>
      <c r="AA215" s="19">
        <f>IF($H215&gt;0,'Calculation Constants'!$B$9*Hydraulics!$K215^2/2/9.81/MAX($F$4:$F$263)*$H215,"")</f>
        <v>7.5705987075825154E-2</v>
      </c>
      <c r="AB215" s="19">
        <f t="shared" si="109"/>
        <v>1.5076692239100422</v>
      </c>
      <c r="AC215" s="19">
        <f t="shared" si="91"/>
        <v>0</v>
      </c>
      <c r="AD215" s="19">
        <f t="shared" si="102"/>
        <v>114.06740003483492</v>
      </c>
      <c r="AE215" s="23">
        <f t="shared" si="92"/>
        <v>1086.9514000348349</v>
      </c>
      <c r="AF215" s="27">
        <f>(1/(2*LOG(3.7*$I215/'Calculation Constants'!$B$4*1000)))^2</f>
        <v>1.1575055557914658E-2</v>
      </c>
      <c r="AG215" s="19">
        <f t="shared" si="93"/>
        <v>1.6876908272744866</v>
      </c>
      <c r="AH215" s="19">
        <f>IF($H215&gt;0,'Calculation Constants'!$B$9*Hydraulics!$K215^2/2/9.81/MAX($F$4:$F$263)*$H215,"")</f>
        <v>7.5705987075825154E-2</v>
      </c>
      <c r="AI215" s="19">
        <f t="shared" si="103"/>
        <v>1.7633968143503118</v>
      </c>
      <c r="AJ215" s="19">
        <f t="shared" si="94"/>
        <v>0</v>
      </c>
      <c r="AK215" s="19">
        <f t="shared" si="104"/>
        <v>97.849558544239926</v>
      </c>
      <c r="AL215" s="23">
        <f t="shared" si="95"/>
        <v>1070.7335585442399</v>
      </c>
      <c r="AM215" s="22">
        <f>(1/(2*LOG(3.7*($I215-0.008)/'Calculation Constants'!$B$5*1000)))^2</f>
        <v>1.4709705891825043E-2</v>
      </c>
      <c r="AN215" s="19">
        <f t="shared" si="105"/>
        <v>2.1543104841910781</v>
      </c>
      <c r="AO215" s="19">
        <f>IF($H215&gt;0,'Calculation Constants'!$B$9*Hydraulics!$K215^2/2/9.81/MAX($F$4:$F$263)*$H215,"")</f>
        <v>7.5705987075825154E-2</v>
      </c>
      <c r="AP215" s="19">
        <f t="shared" si="106"/>
        <v>2.2300164712669033</v>
      </c>
      <c r="AQ215" s="19">
        <f t="shared" si="96"/>
        <v>0</v>
      </c>
      <c r="AR215" s="19">
        <f t="shared" si="107"/>
        <v>68.342563157958921</v>
      </c>
      <c r="AS215" s="23">
        <f t="shared" si="97"/>
        <v>1041.2265631579589</v>
      </c>
    </row>
    <row r="216" spans="5:45">
      <c r="E216" s="35" t="str">
        <f t="shared" si="83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8"/>
        <v>2</v>
      </c>
      <c r="I216" s="19">
        <v>1.8</v>
      </c>
      <c r="J216" s="36">
        <f>'Flow Rate Calculations'!$B$7</f>
        <v>4.0831050228310497</v>
      </c>
      <c r="K216" s="36">
        <f t="shared" si="98"/>
        <v>1.6045588828318709</v>
      </c>
      <c r="L216" s="37">
        <f>$I216*$K216/'Calculation Constants'!$B$7</f>
        <v>2555934.503625989</v>
      </c>
      <c r="M216" s="37" t="str">
        <f t="shared" si="84"/>
        <v>Greater Dynamic Pressures</v>
      </c>
      <c r="N216" s="23">
        <f t="shared" si="99"/>
        <v>111.57759420615889</v>
      </c>
      <c r="O216" s="57">
        <f t="shared" si="85"/>
        <v>101.47173081092501</v>
      </c>
      <c r="P216" s="66">
        <f>MAX(I216*1000/'Calculation Constants'!$B$14,O216*10*I216*1000/2/('Calculation Constants'!$B$12*1000*'Calculation Constants'!$B$13))</f>
        <v>11.25</v>
      </c>
      <c r="Q216" s="68">
        <f t="shared" si="86"/>
        <v>992548.40161508287</v>
      </c>
      <c r="R216" s="27">
        <f>(1/(2*LOG(3.7*$I216/'Calculation Constants'!$B$2*1000)))^2</f>
        <v>8.7463077071963571E-3</v>
      </c>
      <c r="S216" s="19">
        <f t="shared" si="100"/>
        <v>1.2752477269849725</v>
      </c>
      <c r="T216" s="19">
        <f>IF($H216&gt;0,'Calculation Constants'!$B$9*Hydraulics!$K216^2/2/9.81/MAX($F$4:$F$263)*$H216,"")</f>
        <v>7.5705987075825154E-2</v>
      </c>
      <c r="U216" s="19">
        <f t="shared" si="101"/>
        <v>1.3509537140607977</v>
      </c>
      <c r="V216" s="19">
        <f t="shared" si="87"/>
        <v>0</v>
      </c>
      <c r="W216" s="19">
        <f t="shared" si="88"/>
        <v>111.57759420615889</v>
      </c>
      <c r="X216" s="23">
        <f t="shared" si="89"/>
        <v>1095.5495942061589</v>
      </c>
      <c r="Y216" s="22">
        <f>(1/(2*LOG(3.7*$I216/'Calculation Constants'!$B$3*1000)))^2</f>
        <v>9.8211436332891755E-3</v>
      </c>
      <c r="Z216" s="19">
        <f t="shared" si="90"/>
        <v>1.431963236834217</v>
      </c>
      <c r="AA216" s="19">
        <f>IF($H216&gt;0,'Calculation Constants'!$B$9*Hydraulics!$K216^2/2/9.81/MAX($F$4:$F$263)*$H216,"")</f>
        <v>7.5705987075825154E-2</v>
      </c>
      <c r="AB216" s="19">
        <f t="shared" si="109"/>
        <v>1.5076692239100422</v>
      </c>
      <c r="AC216" s="19">
        <f t="shared" si="91"/>
        <v>0</v>
      </c>
      <c r="AD216" s="19">
        <f t="shared" si="102"/>
        <v>101.47173081092501</v>
      </c>
      <c r="AE216" s="23">
        <f t="shared" si="92"/>
        <v>1085.443730810925</v>
      </c>
      <c r="AF216" s="27">
        <f>(1/(2*LOG(3.7*$I216/'Calculation Constants'!$B$4*1000)))^2</f>
        <v>1.1575055557914658E-2</v>
      </c>
      <c r="AG216" s="19">
        <f t="shared" si="93"/>
        <v>1.6876908272744866</v>
      </c>
      <c r="AH216" s="19">
        <f>IF($H216&gt;0,'Calculation Constants'!$B$9*Hydraulics!$K216^2/2/9.81/MAX($F$4:$F$263)*$H216,"")</f>
        <v>7.5705987075825154E-2</v>
      </c>
      <c r="AI216" s="19">
        <f t="shared" si="103"/>
        <v>1.7633968143503118</v>
      </c>
      <c r="AJ216" s="19">
        <f t="shared" si="94"/>
        <v>0</v>
      </c>
      <c r="AK216" s="19">
        <f t="shared" si="104"/>
        <v>84.998161729889716</v>
      </c>
      <c r="AL216" s="23">
        <f t="shared" si="95"/>
        <v>1068.9701617298897</v>
      </c>
      <c r="AM216" s="22">
        <f>(1/(2*LOG(3.7*($I216-0.008)/'Calculation Constants'!$B$5*1000)))^2</f>
        <v>1.4709705891825043E-2</v>
      </c>
      <c r="AN216" s="19">
        <f t="shared" si="105"/>
        <v>2.1543104841910781</v>
      </c>
      <c r="AO216" s="19">
        <f>IF($H216&gt;0,'Calculation Constants'!$B$9*Hydraulics!$K216^2/2/9.81/MAX($F$4:$F$263)*$H216,"")</f>
        <v>7.5705987075825154E-2</v>
      </c>
      <c r="AP216" s="19">
        <f t="shared" si="106"/>
        <v>2.2300164712669033</v>
      </c>
      <c r="AQ216" s="19">
        <f t="shared" si="96"/>
        <v>0</v>
      </c>
      <c r="AR216" s="19">
        <f t="shared" si="107"/>
        <v>55.02454668669202</v>
      </c>
      <c r="AS216" s="23">
        <f t="shared" si="97"/>
        <v>1038.996546686692</v>
      </c>
    </row>
    <row r="217" spans="5:45">
      <c r="E217" s="35" t="str">
        <f t="shared" si="83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8"/>
        <v>2</v>
      </c>
      <c r="I217" s="19">
        <v>1.8</v>
      </c>
      <c r="J217" s="36">
        <f>'Flow Rate Calculations'!$B$7</f>
        <v>4.0831050228310497</v>
      </c>
      <c r="K217" s="36">
        <f t="shared" si="98"/>
        <v>1.6045588828318709</v>
      </c>
      <c r="L217" s="37">
        <f>$I217*$K217/'Calculation Constants'!$B$7</f>
        <v>2555934.503625989</v>
      </c>
      <c r="M217" s="37" t="str">
        <f t="shared" si="84"/>
        <v>Greater Dynamic Pressures</v>
      </c>
      <c r="N217" s="23">
        <f t="shared" si="99"/>
        <v>100.10264049209809</v>
      </c>
      <c r="O217" s="57">
        <f t="shared" si="85"/>
        <v>89.840061587015043</v>
      </c>
      <c r="P217" s="66">
        <f>MAX(I217*1000/'Calculation Constants'!$B$14,O217*10*I217*1000/2/('Calculation Constants'!$B$12*1000*'Calculation Constants'!$B$13))</f>
        <v>11.25</v>
      </c>
      <c r="Q217" s="68">
        <f t="shared" si="86"/>
        <v>992548.40161508287</v>
      </c>
      <c r="R217" s="27">
        <f>(1/(2*LOG(3.7*$I217/'Calculation Constants'!$B$2*1000)))^2</f>
        <v>8.7463077071963571E-3</v>
      </c>
      <c r="S217" s="19">
        <f t="shared" si="100"/>
        <v>1.2752477269849725</v>
      </c>
      <c r="T217" s="19">
        <f>IF($H217&gt;0,'Calculation Constants'!$B$9*Hydraulics!$K217^2/2/9.81/MAX($F$4:$F$263)*$H217,"")</f>
        <v>7.5705987075825154E-2</v>
      </c>
      <c r="U217" s="19">
        <f t="shared" si="101"/>
        <v>1.3509537140607977</v>
      </c>
      <c r="V217" s="19">
        <f t="shared" si="87"/>
        <v>0</v>
      </c>
      <c r="W217" s="19">
        <f t="shared" si="88"/>
        <v>100.10264049209809</v>
      </c>
      <c r="X217" s="23">
        <f t="shared" si="89"/>
        <v>1094.1986404920981</v>
      </c>
      <c r="Y217" s="22">
        <f>(1/(2*LOG(3.7*$I217/'Calculation Constants'!$B$3*1000)))^2</f>
        <v>9.8211436332891755E-3</v>
      </c>
      <c r="Z217" s="19">
        <f t="shared" si="90"/>
        <v>1.431963236834217</v>
      </c>
      <c r="AA217" s="19">
        <f>IF($H217&gt;0,'Calculation Constants'!$B$9*Hydraulics!$K217^2/2/9.81/MAX($F$4:$F$263)*$H217,"")</f>
        <v>7.5705987075825154E-2</v>
      </c>
      <c r="AB217" s="19">
        <f t="shared" si="109"/>
        <v>1.5076692239100422</v>
      </c>
      <c r="AC217" s="19">
        <f t="shared" si="91"/>
        <v>0</v>
      </c>
      <c r="AD217" s="19">
        <f t="shared" si="102"/>
        <v>89.840061587015043</v>
      </c>
      <c r="AE217" s="23">
        <f t="shared" si="92"/>
        <v>1083.936061587015</v>
      </c>
      <c r="AF217" s="27">
        <f>(1/(2*LOG(3.7*$I217/'Calculation Constants'!$B$4*1000)))^2</f>
        <v>1.1575055557914658E-2</v>
      </c>
      <c r="AG217" s="19">
        <f t="shared" si="93"/>
        <v>1.6876908272744866</v>
      </c>
      <c r="AH217" s="19">
        <f>IF($H217&gt;0,'Calculation Constants'!$B$9*Hydraulics!$K217^2/2/9.81/MAX($F$4:$F$263)*$H217,"")</f>
        <v>7.5705987075825154E-2</v>
      </c>
      <c r="AI217" s="19">
        <f t="shared" si="103"/>
        <v>1.7633968143503118</v>
      </c>
      <c r="AJ217" s="19">
        <f t="shared" si="94"/>
        <v>0</v>
      </c>
      <c r="AK217" s="19">
        <f t="shared" si="104"/>
        <v>73.110764915539448</v>
      </c>
      <c r="AL217" s="23">
        <f t="shared" si="95"/>
        <v>1067.2067649155395</v>
      </c>
      <c r="AM217" s="22">
        <f>(1/(2*LOG(3.7*($I217-0.008)/'Calculation Constants'!$B$5*1000)))^2</f>
        <v>1.4709705891825043E-2</v>
      </c>
      <c r="AN217" s="19">
        <f t="shared" si="105"/>
        <v>2.1543104841910781</v>
      </c>
      <c r="AO217" s="19">
        <f>IF($H217&gt;0,'Calculation Constants'!$B$9*Hydraulics!$K217^2/2/9.81/MAX($F$4:$F$263)*$H217,"")</f>
        <v>7.5705987075825154E-2</v>
      </c>
      <c r="AP217" s="19">
        <f t="shared" si="106"/>
        <v>2.2300164712669033</v>
      </c>
      <c r="AQ217" s="19">
        <f t="shared" si="96"/>
        <v>0</v>
      </c>
      <c r="AR217" s="19">
        <f t="shared" si="107"/>
        <v>42.67053021542506</v>
      </c>
      <c r="AS217" s="23">
        <f t="shared" si="97"/>
        <v>1036.7665302154251</v>
      </c>
    </row>
    <row r="218" spans="5:45">
      <c r="E218" s="35" t="str">
        <f t="shared" si="83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8"/>
        <v>2</v>
      </c>
      <c r="I218" s="19">
        <v>1.8</v>
      </c>
      <c r="J218" s="36">
        <f>'Flow Rate Calculations'!$B$7</f>
        <v>4.0831050228310497</v>
      </c>
      <c r="K218" s="36">
        <f t="shared" si="98"/>
        <v>1.6045588828318709</v>
      </c>
      <c r="L218" s="37">
        <f>$I218*$K218/'Calculation Constants'!$B$7</f>
        <v>2555934.503625989</v>
      </c>
      <c r="M218" s="37" t="str">
        <f t="shared" si="84"/>
        <v>Greater Dynamic Pressures</v>
      </c>
      <c r="N218" s="23">
        <f t="shared" si="99"/>
        <v>101.15268677803726</v>
      </c>
      <c r="O218" s="57">
        <f t="shared" si="85"/>
        <v>90.733392363105054</v>
      </c>
      <c r="P218" s="66">
        <f>MAX(I218*1000/'Calculation Constants'!$B$14,O218*10*I218*1000/2/('Calculation Constants'!$B$12*1000*'Calculation Constants'!$B$13))</f>
        <v>11.25</v>
      </c>
      <c r="Q218" s="68">
        <f t="shared" si="86"/>
        <v>992548.40161508287</v>
      </c>
      <c r="R218" s="27">
        <f>(1/(2*LOG(3.7*$I218/'Calculation Constants'!$B$2*1000)))^2</f>
        <v>8.7463077071963571E-3</v>
      </c>
      <c r="S218" s="19">
        <f t="shared" si="100"/>
        <v>1.2752477269849725</v>
      </c>
      <c r="T218" s="19">
        <f>IF($H218&gt;0,'Calculation Constants'!$B$9*Hydraulics!$K218^2/2/9.81/MAX($F$4:$F$263)*$H218,"")</f>
        <v>7.5705987075825154E-2</v>
      </c>
      <c r="U218" s="19">
        <f t="shared" si="101"/>
        <v>1.3509537140607977</v>
      </c>
      <c r="V218" s="19">
        <f t="shared" si="87"/>
        <v>0</v>
      </c>
      <c r="W218" s="19">
        <f t="shared" si="88"/>
        <v>101.15268677803726</v>
      </c>
      <c r="X218" s="23">
        <f t="shared" si="89"/>
        <v>1092.8476867780373</v>
      </c>
      <c r="Y218" s="22">
        <f>(1/(2*LOG(3.7*$I218/'Calculation Constants'!$B$3*1000)))^2</f>
        <v>9.8211436332891755E-3</v>
      </c>
      <c r="Z218" s="19">
        <f t="shared" si="90"/>
        <v>1.431963236834217</v>
      </c>
      <c r="AA218" s="19">
        <f>IF($H218&gt;0,'Calculation Constants'!$B$9*Hydraulics!$K218^2/2/9.81/MAX($F$4:$F$263)*$H218,"")</f>
        <v>7.5705987075825154E-2</v>
      </c>
      <c r="AB218" s="19">
        <f t="shared" si="109"/>
        <v>1.5076692239100422</v>
      </c>
      <c r="AC218" s="19">
        <f t="shared" si="91"/>
        <v>0</v>
      </c>
      <c r="AD218" s="19">
        <f t="shared" si="102"/>
        <v>90.733392363105054</v>
      </c>
      <c r="AE218" s="23">
        <f t="shared" si="92"/>
        <v>1082.4283923631051</v>
      </c>
      <c r="AF218" s="27">
        <f>(1/(2*LOG(3.7*$I218/'Calculation Constants'!$B$4*1000)))^2</f>
        <v>1.1575055557914658E-2</v>
      </c>
      <c r="AG218" s="19">
        <f t="shared" si="93"/>
        <v>1.6876908272744866</v>
      </c>
      <c r="AH218" s="19">
        <f>IF($H218&gt;0,'Calculation Constants'!$B$9*Hydraulics!$K218^2/2/9.81/MAX($F$4:$F$263)*$H218,"")</f>
        <v>7.5705987075825154E-2</v>
      </c>
      <c r="AI218" s="19">
        <f t="shared" si="103"/>
        <v>1.7633968143503118</v>
      </c>
      <c r="AJ218" s="19">
        <f t="shared" si="94"/>
        <v>0</v>
      </c>
      <c r="AK218" s="19">
        <f t="shared" si="104"/>
        <v>73.748368101189158</v>
      </c>
      <c r="AL218" s="23">
        <f t="shared" si="95"/>
        <v>1065.4433681011892</v>
      </c>
      <c r="AM218" s="22">
        <f>(1/(2*LOG(3.7*($I218-0.008)/'Calculation Constants'!$B$5*1000)))^2</f>
        <v>1.4709705891825043E-2</v>
      </c>
      <c r="AN218" s="19">
        <f t="shared" si="105"/>
        <v>2.1543104841910781</v>
      </c>
      <c r="AO218" s="19">
        <f>IF($H218&gt;0,'Calculation Constants'!$B$9*Hydraulics!$K218^2/2/9.81/MAX($F$4:$F$263)*$H218,"")</f>
        <v>7.5705987075825154E-2</v>
      </c>
      <c r="AP218" s="19">
        <f t="shared" si="106"/>
        <v>2.2300164712669033</v>
      </c>
      <c r="AQ218" s="19">
        <f t="shared" si="96"/>
        <v>0</v>
      </c>
      <c r="AR218" s="19">
        <f t="shared" si="107"/>
        <v>42.841513744158078</v>
      </c>
      <c r="AS218" s="23">
        <f t="shared" si="97"/>
        <v>1034.5365137441581</v>
      </c>
    </row>
    <row r="219" spans="5:45">
      <c r="E219" s="35" t="str">
        <f t="shared" si="83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8"/>
        <v>2</v>
      </c>
      <c r="I219" s="19">
        <v>1.8</v>
      </c>
      <c r="J219" s="36">
        <f>'Flow Rate Calculations'!$B$7</f>
        <v>4.0831050228310497</v>
      </c>
      <c r="K219" s="36">
        <f t="shared" si="98"/>
        <v>1.6045588828318709</v>
      </c>
      <c r="L219" s="37">
        <f>$I219*$K219/'Calculation Constants'!$B$7</f>
        <v>2555934.503625989</v>
      </c>
      <c r="M219" s="37" t="str">
        <f t="shared" si="84"/>
        <v>Greater Dynamic Pressures</v>
      </c>
      <c r="N219" s="23">
        <f t="shared" si="99"/>
        <v>106.56373306397654</v>
      </c>
      <c r="O219" s="57">
        <f t="shared" si="85"/>
        <v>95.987723139195168</v>
      </c>
      <c r="P219" s="66">
        <f>MAX(I219*1000/'Calculation Constants'!$B$14,O219*10*I219*1000/2/('Calculation Constants'!$B$12*1000*'Calculation Constants'!$B$13))</f>
        <v>11.25</v>
      </c>
      <c r="Q219" s="68">
        <f t="shared" si="86"/>
        <v>992548.40161508287</v>
      </c>
      <c r="R219" s="27">
        <f>(1/(2*LOG(3.7*$I219/'Calculation Constants'!$B$2*1000)))^2</f>
        <v>8.7463077071963571E-3</v>
      </c>
      <c r="S219" s="19">
        <f t="shared" si="100"/>
        <v>1.2752477269849725</v>
      </c>
      <c r="T219" s="19">
        <f>IF($H219&gt;0,'Calculation Constants'!$B$9*Hydraulics!$K219^2/2/9.81/MAX($F$4:$F$263)*$H219,"")</f>
        <v>7.5705987075825154E-2</v>
      </c>
      <c r="U219" s="19">
        <f t="shared" si="101"/>
        <v>1.3509537140607977</v>
      </c>
      <c r="V219" s="19">
        <f t="shared" si="87"/>
        <v>0</v>
      </c>
      <c r="W219" s="19">
        <f t="shared" si="88"/>
        <v>106.56373306397654</v>
      </c>
      <c r="X219" s="23">
        <f t="shared" si="89"/>
        <v>1091.4967330639765</v>
      </c>
      <c r="Y219" s="22">
        <f>(1/(2*LOG(3.7*$I219/'Calculation Constants'!$B$3*1000)))^2</f>
        <v>9.8211436332891755E-3</v>
      </c>
      <c r="Z219" s="19">
        <f t="shared" si="90"/>
        <v>1.431963236834217</v>
      </c>
      <c r="AA219" s="19">
        <f>IF($H219&gt;0,'Calculation Constants'!$B$9*Hydraulics!$K219^2/2/9.81/MAX($F$4:$F$263)*$H219,"")</f>
        <v>7.5705987075825154E-2</v>
      </c>
      <c r="AB219" s="19">
        <f t="shared" si="109"/>
        <v>1.5076692239100422</v>
      </c>
      <c r="AC219" s="19">
        <f t="shared" si="91"/>
        <v>0</v>
      </c>
      <c r="AD219" s="19">
        <f t="shared" si="102"/>
        <v>95.987723139195168</v>
      </c>
      <c r="AE219" s="23">
        <f t="shared" si="92"/>
        <v>1080.9207231391952</v>
      </c>
      <c r="AF219" s="27">
        <f>(1/(2*LOG(3.7*$I219/'Calculation Constants'!$B$4*1000)))^2</f>
        <v>1.1575055557914658E-2</v>
      </c>
      <c r="AG219" s="19">
        <f t="shared" si="93"/>
        <v>1.6876908272744866</v>
      </c>
      <c r="AH219" s="19">
        <f>IF($H219&gt;0,'Calculation Constants'!$B$9*Hydraulics!$K219^2/2/9.81/MAX($F$4:$F$263)*$H219,"")</f>
        <v>7.5705987075825154E-2</v>
      </c>
      <c r="AI219" s="19">
        <f t="shared" si="103"/>
        <v>1.7633968143503118</v>
      </c>
      <c r="AJ219" s="19">
        <f t="shared" si="94"/>
        <v>0</v>
      </c>
      <c r="AK219" s="19">
        <f t="shared" si="104"/>
        <v>78.746971286838971</v>
      </c>
      <c r="AL219" s="23">
        <f t="shared" si="95"/>
        <v>1063.679971286839</v>
      </c>
      <c r="AM219" s="22">
        <f>(1/(2*LOG(3.7*($I219-0.008)/'Calculation Constants'!$B$5*1000)))^2</f>
        <v>1.4709705891825043E-2</v>
      </c>
      <c r="AN219" s="19">
        <f t="shared" si="105"/>
        <v>2.1543104841910781</v>
      </c>
      <c r="AO219" s="19">
        <f>IF($H219&gt;0,'Calculation Constants'!$B$9*Hydraulics!$K219^2/2/9.81/MAX($F$4:$F$263)*$H219,"")</f>
        <v>7.5705987075825154E-2</v>
      </c>
      <c r="AP219" s="19">
        <f t="shared" si="106"/>
        <v>2.2300164712669033</v>
      </c>
      <c r="AQ219" s="19">
        <f t="shared" si="96"/>
        <v>0</v>
      </c>
      <c r="AR219" s="19">
        <f t="shared" si="107"/>
        <v>47.3734972728912</v>
      </c>
      <c r="AS219" s="23">
        <f t="shared" si="97"/>
        <v>1032.3064972728912</v>
      </c>
    </row>
    <row r="220" spans="5:45">
      <c r="E220" s="35" t="str">
        <f t="shared" si="83"/>
        <v/>
      </c>
      <c r="F220" s="19">
        <f>'Profile data'!A220</f>
        <v>434</v>
      </c>
      <c r="G220" s="19">
        <f>VLOOKUP(F220,'Profile data'!A220:C479,IF($B$22="Botswana 1",2,3))</f>
        <v>978.18499999999995</v>
      </c>
      <c r="H220" s="19">
        <f t="shared" si="108"/>
        <v>2</v>
      </c>
      <c r="I220" s="19">
        <v>1.8</v>
      </c>
      <c r="J220" s="36">
        <f>'Flow Rate Calculations'!$B$7</f>
        <v>4.0831050228310497</v>
      </c>
      <c r="K220" s="36">
        <f t="shared" si="98"/>
        <v>1.6045588828318709</v>
      </c>
      <c r="L220" s="37">
        <f>$I220*$K220/'Calculation Constants'!$B$7</f>
        <v>2555934.503625989</v>
      </c>
      <c r="M220" s="37" t="str">
        <f t="shared" si="84"/>
        <v>Greater Dynamic Pressures</v>
      </c>
      <c r="N220" s="23">
        <f t="shared" si="99"/>
        <v>111.96077934991581</v>
      </c>
      <c r="O220" s="57">
        <f t="shared" si="85"/>
        <v>101.22805391528527</v>
      </c>
      <c r="P220" s="66">
        <f>MAX(I220*1000/'Calculation Constants'!$B$14,O220*10*I220*1000/2/('Calculation Constants'!$B$12*1000*'Calculation Constants'!$B$13))</f>
        <v>11.25</v>
      </c>
      <c r="Q220" s="68">
        <f t="shared" si="86"/>
        <v>992548.40161508287</v>
      </c>
      <c r="R220" s="27">
        <f>(1/(2*LOG(3.7*$I220/'Calculation Constants'!$B$2*1000)))^2</f>
        <v>8.7463077071963571E-3</v>
      </c>
      <c r="S220" s="19">
        <f t="shared" si="100"/>
        <v>1.2752477269849725</v>
      </c>
      <c r="T220" s="19">
        <f>IF($H220&gt;0,'Calculation Constants'!$B$9*Hydraulics!$K220^2/2/9.81/MAX($F$4:$F$263)*$H220,"")</f>
        <v>7.5705987075825154E-2</v>
      </c>
      <c r="U220" s="19">
        <f t="shared" si="101"/>
        <v>1.3509537140607977</v>
      </c>
      <c r="V220" s="19">
        <f t="shared" si="87"/>
        <v>0</v>
      </c>
      <c r="W220" s="19">
        <f t="shared" si="88"/>
        <v>111.96077934991581</v>
      </c>
      <c r="X220" s="23">
        <f t="shared" si="89"/>
        <v>1090.1457793499158</v>
      </c>
      <c r="Y220" s="22">
        <f>(1/(2*LOG(3.7*$I220/'Calculation Constants'!$B$3*1000)))^2</f>
        <v>9.8211436332891755E-3</v>
      </c>
      <c r="Z220" s="19">
        <f t="shared" si="90"/>
        <v>1.431963236834217</v>
      </c>
      <c r="AA220" s="19">
        <f>IF($H220&gt;0,'Calculation Constants'!$B$9*Hydraulics!$K220^2/2/9.81/MAX($F$4:$F$263)*$H220,"")</f>
        <v>7.5705987075825154E-2</v>
      </c>
      <c r="AB220" s="19">
        <f t="shared" si="109"/>
        <v>1.5076692239100422</v>
      </c>
      <c r="AC220" s="19">
        <f t="shared" si="91"/>
        <v>0</v>
      </c>
      <c r="AD220" s="19">
        <f t="shared" si="102"/>
        <v>101.22805391528527</v>
      </c>
      <c r="AE220" s="23">
        <f t="shared" si="92"/>
        <v>1079.4130539152852</v>
      </c>
      <c r="AF220" s="27">
        <f>(1/(2*LOG(3.7*$I220/'Calculation Constants'!$B$4*1000)))^2</f>
        <v>1.1575055557914658E-2</v>
      </c>
      <c r="AG220" s="19">
        <f t="shared" si="93"/>
        <v>1.6876908272744866</v>
      </c>
      <c r="AH220" s="19">
        <f>IF($H220&gt;0,'Calculation Constants'!$B$9*Hydraulics!$K220^2/2/9.81/MAX($F$4:$F$263)*$H220,"")</f>
        <v>7.5705987075825154E-2</v>
      </c>
      <c r="AI220" s="19">
        <f t="shared" si="103"/>
        <v>1.7633968143503118</v>
      </c>
      <c r="AJ220" s="19">
        <f t="shared" si="94"/>
        <v>0</v>
      </c>
      <c r="AK220" s="19">
        <f t="shared" si="104"/>
        <v>83.731574472488774</v>
      </c>
      <c r="AL220" s="23">
        <f t="shared" si="95"/>
        <v>1061.9165744724887</v>
      </c>
      <c r="AM220" s="22">
        <f>(1/(2*LOG(3.7*($I220-0.008)/'Calculation Constants'!$B$5*1000)))^2</f>
        <v>1.4709705891825043E-2</v>
      </c>
      <c r="AN220" s="19">
        <f t="shared" si="105"/>
        <v>2.1543104841910781</v>
      </c>
      <c r="AO220" s="19">
        <f>IF($H220&gt;0,'Calculation Constants'!$B$9*Hydraulics!$K220^2/2/9.81/MAX($F$4:$F$263)*$H220,"")</f>
        <v>7.5705987075825154E-2</v>
      </c>
      <c r="AP220" s="19">
        <f t="shared" si="106"/>
        <v>2.2300164712669033</v>
      </c>
      <c r="AQ220" s="19">
        <f t="shared" si="96"/>
        <v>0</v>
      </c>
      <c r="AR220" s="19">
        <f t="shared" si="107"/>
        <v>51.891480801624311</v>
      </c>
      <c r="AS220" s="23">
        <f t="shared" si="97"/>
        <v>1030.0764808016243</v>
      </c>
    </row>
    <row r="221" spans="5:45">
      <c r="E221" s="35" t="str">
        <f t="shared" si="83"/>
        <v/>
      </c>
      <c r="F221" s="19">
        <f>'Profile data'!A221</f>
        <v>436</v>
      </c>
      <c r="G221" s="19">
        <f>VLOOKUP(F221,'Profile data'!A221:C480,IF($B$22="Botswana 1",2,3))</f>
        <v>972.68600000000004</v>
      </c>
      <c r="H221" s="19">
        <f t="shared" si="108"/>
        <v>2</v>
      </c>
      <c r="I221" s="19">
        <v>1.8</v>
      </c>
      <c r="J221" s="36">
        <f>'Flow Rate Calculations'!$B$7</f>
        <v>4.0831050228310497</v>
      </c>
      <c r="K221" s="36">
        <f t="shared" si="98"/>
        <v>1.6045588828318709</v>
      </c>
      <c r="L221" s="37">
        <f>$I221*$K221/'Calculation Constants'!$B$7</f>
        <v>2555934.503625989</v>
      </c>
      <c r="M221" s="37" t="str">
        <f t="shared" si="84"/>
        <v>Greater Dynamic Pressures</v>
      </c>
      <c r="N221" s="23">
        <f t="shared" si="99"/>
        <v>116.10882563585494</v>
      </c>
      <c r="O221" s="57">
        <f t="shared" si="85"/>
        <v>105.21938469137524</v>
      </c>
      <c r="P221" s="66">
        <f>MAX(I221*1000/'Calculation Constants'!$B$14,O221*10*I221*1000/2/('Calculation Constants'!$B$12*1000*'Calculation Constants'!$B$13))</f>
        <v>11.25</v>
      </c>
      <c r="Q221" s="68">
        <f t="shared" si="86"/>
        <v>992548.40161508287</v>
      </c>
      <c r="R221" s="27">
        <f>(1/(2*LOG(3.7*$I221/'Calculation Constants'!$B$2*1000)))^2</f>
        <v>8.7463077071963571E-3</v>
      </c>
      <c r="S221" s="19">
        <f t="shared" si="100"/>
        <v>1.2752477269849725</v>
      </c>
      <c r="T221" s="19">
        <f>IF($H221&gt;0,'Calculation Constants'!$B$9*Hydraulics!$K221^2/2/9.81/MAX($F$4:$F$263)*$H221,"")</f>
        <v>7.5705987075825154E-2</v>
      </c>
      <c r="U221" s="19">
        <f t="shared" si="101"/>
        <v>1.3509537140607977</v>
      </c>
      <c r="V221" s="19">
        <f t="shared" si="87"/>
        <v>0</v>
      </c>
      <c r="W221" s="19">
        <f t="shared" si="88"/>
        <v>116.10882563585494</v>
      </c>
      <c r="X221" s="23">
        <f t="shared" si="89"/>
        <v>1088.794825635855</v>
      </c>
      <c r="Y221" s="22">
        <f>(1/(2*LOG(3.7*$I221/'Calculation Constants'!$B$3*1000)))^2</f>
        <v>9.8211436332891755E-3</v>
      </c>
      <c r="Z221" s="19">
        <f t="shared" si="90"/>
        <v>1.431963236834217</v>
      </c>
      <c r="AA221" s="19">
        <f>IF($H221&gt;0,'Calculation Constants'!$B$9*Hydraulics!$K221^2/2/9.81/MAX($F$4:$F$263)*$H221,"")</f>
        <v>7.5705987075825154E-2</v>
      </c>
      <c r="AB221" s="19">
        <f t="shared" si="109"/>
        <v>1.5076692239100422</v>
      </c>
      <c r="AC221" s="19">
        <f t="shared" si="91"/>
        <v>0</v>
      </c>
      <c r="AD221" s="19">
        <f t="shared" si="102"/>
        <v>105.21938469137524</v>
      </c>
      <c r="AE221" s="23">
        <f t="shared" si="92"/>
        <v>1077.9053846913753</v>
      </c>
      <c r="AF221" s="27">
        <f>(1/(2*LOG(3.7*$I221/'Calculation Constants'!$B$4*1000)))^2</f>
        <v>1.1575055557914658E-2</v>
      </c>
      <c r="AG221" s="19">
        <f t="shared" si="93"/>
        <v>1.6876908272744866</v>
      </c>
      <c r="AH221" s="19">
        <f>IF($H221&gt;0,'Calculation Constants'!$B$9*Hydraulics!$K221^2/2/9.81/MAX($F$4:$F$263)*$H221,"")</f>
        <v>7.5705987075825154E-2</v>
      </c>
      <c r="AI221" s="19">
        <f t="shared" si="103"/>
        <v>1.7633968143503118</v>
      </c>
      <c r="AJ221" s="19">
        <f t="shared" si="94"/>
        <v>0</v>
      </c>
      <c r="AK221" s="19">
        <f t="shared" si="104"/>
        <v>87.467177658138439</v>
      </c>
      <c r="AL221" s="23">
        <f t="shared" si="95"/>
        <v>1060.1531776581385</v>
      </c>
      <c r="AM221" s="22">
        <f>(1/(2*LOG(3.7*($I221-0.008)/'Calculation Constants'!$B$5*1000)))^2</f>
        <v>1.4709705891825043E-2</v>
      </c>
      <c r="AN221" s="19">
        <f t="shared" si="105"/>
        <v>2.1543104841910781</v>
      </c>
      <c r="AO221" s="19">
        <f>IF($H221&gt;0,'Calculation Constants'!$B$9*Hydraulics!$K221^2/2/9.81/MAX($F$4:$F$263)*$H221,"")</f>
        <v>7.5705987075825154E-2</v>
      </c>
      <c r="AP221" s="19">
        <f t="shared" si="106"/>
        <v>2.2300164712669033</v>
      </c>
      <c r="AQ221" s="19">
        <f t="shared" si="96"/>
        <v>0</v>
      </c>
      <c r="AR221" s="19">
        <f t="shared" si="107"/>
        <v>55.160464330357286</v>
      </c>
      <c r="AS221" s="23">
        <f t="shared" si="97"/>
        <v>1027.8464643303573</v>
      </c>
    </row>
    <row r="222" spans="5:45">
      <c r="E222" s="35" t="str">
        <f t="shared" si="83"/>
        <v/>
      </c>
      <c r="F222" s="19">
        <f>'Profile data'!A222</f>
        <v>438</v>
      </c>
      <c r="G222" s="19">
        <f>VLOOKUP(F222,'Profile data'!A222:C481,IF($B$22="Botswana 1",2,3))</f>
        <v>966.82399999999996</v>
      </c>
      <c r="H222" s="19">
        <f t="shared" si="108"/>
        <v>2</v>
      </c>
      <c r="I222" s="19">
        <v>1.8</v>
      </c>
      <c r="J222" s="36">
        <f>'Flow Rate Calculations'!$B$7</f>
        <v>4.0831050228310497</v>
      </c>
      <c r="K222" s="36">
        <f t="shared" si="98"/>
        <v>1.6045588828318709</v>
      </c>
      <c r="L222" s="37">
        <f>$I222*$K222/'Calculation Constants'!$B$7</f>
        <v>2555934.503625989</v>
      </c>
      <c r="M222" s="37" t="str">
        <f t="shared" si="84"/>
        <v>Greater Dynamic Pressures</v>
      </c>
      <c r="N222" s="23">
        <f t="shared" si="99"/>
        <v>120.61987192179424</v>
      </c>
      <c r="O222" s="57">
        <f t="shared" si="85"/>
        <v>109.57371546746538</v>
      </c>
      <c r="P222" s="66">
        <f>MAX(I222*1000/'Calculation Constants'!$B$14,O222*10*I222*1000/2/('Calculation Constants'!$B$12*1000*'Calculation Constants'!$B$13))</f>
        <v>11.25</v>
      </c>
      <c r="Q222" s="68">
        <f t="shared" si="86"/>
        <v>992548.40161508287</v>
      </c>
      <c r="R222" s="27">
        <f>(1/(2*LOG(3.7*$I222/'Calculation Constants'!$B$2*1000)))^2</f>
        <v>8.7463077071963571E-3</v>
      </c>
      <c r="S222" s="19">
        <f t="shared" si="100"/>
        <v>1.2752477269849725</v>
      </c>
      <c r="T222" s="19">
        <f>IF($H222&gt;0,'Calculation Constants'!$B$9*Hydraulics!$K222^2/2/9.81/MAX($F$4:$F$263)*$H222,"")</f>
        <v>7.5705987075825154E-2</v>
      </c>
      <c r="U222" s="19">
        <f t="shared" si="101"/>
        <v>1.3509537140607977</v>
      </c>
      <c r="V222" s="19">
        <f t="shared" si="87"/>
        <v>0</v>
      </c>
      <c r="W222" s="19">
        <f t="shared" si="88"/>
        <v>120.61987192179424</v>
      </c>
      <c r="X222" s="23">
        <f t="shared" si="89"/>
        <v>1087.4438719217942</v>
      </c>
      <c r="Y222" s="22">
        <f>(1/(2*LOG(3.7*$I222/'Calculation Constants'!$B$3*1000)))^2</f>
        <v>9.8211436332891755E-3</v>
      </c>
      <c r="Z222" s="19">
        <f t="shared" si="90"/>
        <v>1.431963236834217</v>
      </c>
      <c r="AA222" s="19">
        <f>IF($H222&gt;0,'Calculation Constants'!$B$9*Hydraulics!$K222^2/2/9.81/MAX($F$4:$F$263)*$H222,"")</f>
        <v>7.5705987075825154E-2</v>
      </c>
      <c r="AB222" s="19">
        <f t="shared" si="109"/>
        <v>1.5076692239100422</v>
      </c>
      <c r="AC222" s="19">
        <f t="shared" si="91"/>
        <v>0</v>
      </c>
      <c r="AD222" s="19">
        <f t="shared" si="102"/>
        <v>109.57371546746538</v>
      </c>
      <c r="AE222" s="23">
        <f t="shared" si="92"/>
        <v>1076.3977154674653</v>
      </c>
      <c r="AF222" s="27">
        <f>(1/(2*LOG(3.7*$I222/'Calculation Constants'!$B$4*1000)))^2</f>
        <v>1.1575055557914658E-2</v>
      </c>
      <c r="AG222" s="19">
        <f t="shared" si="93"/>
        <v>1.6876908272744866</v>
      </c>
      <c r="AH222" s="19">
        <f>IF($H222&gt;0,'Calculation Constants'!$B$9*Hydraulics!$K222^2/2/9.81/MAX($F$4:$F$263)*$H222,"")</f>
        <v>7.5705987075825154E-2</v>
      </c>
      <c r="AI222" s="19">
        <f t="shared" si="103"/>
        <v>1.7633968143503118</v>
      </c>
      <c r="AJ222" s="19">
        <f t="shared" si="94"/>
        <v>0</v>
      </c>
      <c r="AK222" s="19">
        <f t="shared" si="104"/>
        <v>91.565780843788275</v>
      </c>
      <c r="AL222" s="23">
        <f t="shared" si="95"/>
        <v>1058.3897808437882</v>
      </c>
      <c r="AM222" s="22">
        <f>(1/(2*LOG(3.7*($I222-0.008)/'Calculation Constants'!$B$5*1000)))^2</f>
        <v>1.4709705891825043E-2</v>
      </c>
      <c r="AN222" s="19">
        <f t="shared" si="105"/>
        <v>2.1543104841910781</v>
      </c>
      <c r="AO222" s="19">
        <f>IF($H222&gt;0,'Calculation Constants'!$B$9*Hydraulics!$K222^2/2/9.81/MAX($F$4:$F$263)*$H222,"")</f>
        <v>7.5705987075825154E-2</v>
      </c>
      <c r="AP222" s="19">
        <f t="shared" si="106"/>
        <v>2.2300164712669033</v>
      </c>
      <c r="AQ222" s="19">
        <f t="shared" si="96"/>
        <v>0</v>
      </c>
      <c r="AR222" s="19">
        <f t="shared" si="107"/>
        <v>58.79244785909043</v>
      </c>
      <c r="AS222" s="23">
        <f t="shared" si="97"/>
        <v>1025.6164478590904</v>
      </c>
    </row>
    <row r="223" spans="5:45">
      <c r="E223" s="35" t="str">
        <f t="shared" si="83"/>
        <v/>
      </c>
      <c r="F223" s="19">
        <f>'Profile data'!A223</f>
        <v>440</v>
      </c>
      <c r="G223" s="19">
        <f>VLOOKUP(F223,'Profile data'!A223:C482,IF($B$22="Botswana 1",2,3))</f>
        <v>960.90200000000004</v>
      </c>
      <c r="H223" s="19">
        <f t="shared" si="108"/>
        <v>2</v>
      </c>
      <c r="I223" s="19">
        <v>1.8</v>
      </c>
      <c r="J223" s="36">
        <f>'Flow Rate Calculations'!$B$7</f>
        <v>4.0831050228310497</v>
      </c>
      <c r="K223" s="36">
        <f t="shared" si="98"/>
        <v>1.6045588828318709</v>
      </c>
      <c r="L223" s="37">
        <f>$I223*$K223/'Calculation Constants'!$B$7</f>
        <v>2555934.503625989</v>
      </c>
      <c r="M223" s="37" t="str">
        <f t="shared" si="84"/>
        <v>Greater Dynamic Pressures</v>
      </c>
      <c r="N223" s="23">
        <f t="shared" si="99"/>
        <v>125.19091820773338</v>
      </c>
      <c r="O223" s="57">
        <f t="shared" si="85"/>
        <v>113.98804624355535</v>
      </c>
      <c r="P223" s="66">
        <f>MAX(I223*1000/'Calculation Constants'!$B$14,O223*10*I223*1000/2/('Calculation Constants'!$B$12*1000*'Calculation Constants'!$B$13))</f>
        <v>11.25</v>
      </c>
      <c r="Q223" s="68">
        <f t="shared" si="86"/>
        <v>992548.40161508287</v>
      </c>
      <c r="R223" s="27">
        <f>(1/(2*LOG(3.7*$I223/'Calculation Constants'!$B$2*1000)))^2</f>
        <v>8.7463077071963571E-3</v>
      </c>
      <c r="S223" s="19">
        <f t="shared" si="100"/>
        <v>1.2752477269849725</v>
      </c>
      <c r="T223" s="19">
        <f>IF($H223&gt;0,'Calculation Constants'!$B$9*Hydraulics!$K223^2/2/9.81/MAX($F$4:$F$263)*$H223,"")</f>
        <v>7.5705987075825154E-2</v>
      </c>
      <c r="U223" s="19">
        <f t="shared" si="101"/>
        <v>1.3509537140607977</v>
      </c>
      <c r="V223" s="19">
        <f t="shared" si="87"/>
        <v>0</v>
      </c>
      <c r="W223" s="19">
        <f t="shared" si="88"/>
        <v>125.19091820773338</v>
      </c>
      <c r="X223" s="23">
        <f t="shared" si="89"/>
        <v>1086.0929182077334</v>
      </c>
      <c r="Y223" s="22">
        <f>(1/(2*LOG(3.7*$I223/'Calculation Constants'!$B$3*1000)))^2</f>
        <v>9.8211436332891755E-3</v>
      </c>
      <c r="Z223" s="19">
        <f t="shared" si="90"/>
        <v>1.431963236834217</v>
      </c>
      <c r="AA223" s="19">
        <f>IF($H223&gt;0,'Calculation Constants'!$B$9*Hydraulics!$K223^2/2/9.81/MAX($F$4:$F$263)*$H223,"")</f>
        <v>7.5705987075825154E-2</v>
      </c>
      <c r="AB223" s="19">
        <f t="shared" si="109"/>
        <v>1.5076692239100422</v>
      </c>
      <c r="AC223" s="19">
        <f t="shared" si="91"/>
        <v>0</v>
      </c>
      <c r="AD223" s="19">
        <f t="shared" si="102"/>
        <v>113.98804624355535</v>
      </c>
      <c r="AE223" s="23">
        <f t="shared" si="92"/>
        <v>1074.8900462435554</v>
      </c>
      <c r="AF223" s="27">
        <f>(1/(2*LOG(3.7*$I223/'Calculation Constants'!$B$4*1000)))^2</f>
        <v>1.1575055557914658E-2</v>
      </c>
      <c r="AG223" s="19">
        <f t="shared" si="93"/>
        <v>1.6876908272744866</v>
      </c>
      <c r="AH223" s="19">
        <f>IF($H223&gt;0,'Calculation Constants'!$B$9*Hydraulics!$K223^2/2/9.81/MAX($F$4:$F$263)*$H223,"")</f>
        <v>7.5705987075825154E-2</v>
      </c>
      <c r="AI223" s="19">
        <f t="shared" si="103"/>
        <v>1.7633968143503118</v>
      </c>
      <c r="AJ223" s="19">
        <f t="shared" si="94"/>
        <v>0</v>
      </c>
      <c r="AK223" s="19">
        <f t="shared" si="104"/>
        <v>95.724384029437942</v>
      </c>
      <c r="AL223" s="23">
        <f t="shared" si="95"/>
        <v>1056.626384029438</v>
      </c>
      <c r="AM223" s="22">
        <f>(1/(2*LOG(3.7*($I223-0.008)/'Calculation Constants'!$B$5*1000)))^2</f>
        <v>1.4709705891825043E-2</v>
      </c>
      <c r="AN223" s="19">
        <f t="shared" si="105"/>
        <v>2.1543104841910781</v>
      </c>
      <c r="AO223" s="19">
        <f>IF($H223&gt;0,'Calculation Constants'!$B$9*Hydraulics!$K223^2/2/9.81/MAX($F$4:$F$263)*$H223,"")</f>
        <v>7.5705987075825154E-2</v>
      </c>
      <c r="AP223" s="19">
        <f t="shared" si="106"/>
        <v>2.2300164712669033</v>
      </c>
      <c r="AQ223" s="19">
        <f t="shared" si="96"/>
        <v>0</v>
      </c>
      <c r="AR223" s="19">
        <f t="shared" si="107"/>
        <v>62.484431387823406</v>
      </c>
      <c r="AS223" s="23">
        <f t="shared" si="97"/>
        <v>1023.3864313878234</v>
      </c>
    </row>
    <row r="224" spans="5:45">
      <c r="E224" s="35" t="str">
        <f t="shared" si="83"/>
        <v/>
      </c>
      <c r="F224" s="19">
        <f>'Profile data'!A224</f>
        <v>442</v>
      </c>
      <c r="G224" s="19">
        <f>VLOOKUP(F224,'Profile data'!A224:C483,IF($B$22="Botswana 1",2,3))</f>
        <v>952.92399999999998</v>
      </c>
      <c r="H224" s="19">
        <f t="shared" si="108"/>
        <v>2</v>
      </c>
      <c r="I224" s="19">
        <v>1.8</v>
      </c>
      <c r="J224" s="36">
        <f>'Flow Rate Calculations'!$B$7</f>
        <v>4.0831050228310497</v>
      </c>
      <c r="K224" s="36">
        <f t="shared" si="98"/>
        <v>1.6045588828318709</v>
      </c>
      <c r="L224" s="37">
        <f>$I224*$K224/'Calculation Constants'!$B$7</f>
        <v>2555934.503625989</v>
      </c>
      <c r="M224" s="37" t="str">
        <f t="shared" si="84"/>
        <v>Greater Dynamic Pressures</v>
      </c>
      <c r="N224" s="23">
        <f t="shared" si="99"/>
        <v>131.81796449367266</v>
      </c>
      <c r="O224" s="57">
        <f t="shared" si="85"/>
        <v>120.45837701964547</v>
      </c>
      <c r="P224" s="66">
        <f>MAX(I224*1000/'Calculation Constants'!$B$14,O224*10*I224*1000/2/('Calculation Constants'!$B$12*1000*'Calculation Constants'!$B$13))</f>
        <v>11.25</v>
      </c>
      <c r="Q224" s="68">
        <f t="shared" si="86"/>
        <v>992548.40161508287</v>
      </c>
      <c r="R224" s="27">
        <f>(1/(2*LOG(3.7*$I224/'Calculation Constants'!$B$2*1000)))^2</f>
        <v>8.7463077071963571E-3</v>
      </c>
      <c r="S224" s="19">
        <f t="shared" si="100"/>
        <v>1.2752477269849725</v>
      </c>
      <c r="T224" s="19">
        <f>IF($H224&gt;0,'Calculation Constants'!$B$9*Hydraulics!$K224^2/2/9.81/MAX($F$4:$F$263)*$H224,"")</f>
        <v>7.5705987075825154E-2</v>
      </c>
      <c r="U224" s="19">
        <f t="shared" si="101"/>
        <v>1.3509537140607977</v>
      </c>
      <c r="V224" s="19">
        <f t="shared" si="87"/>
        <v>0</v>
      </c>
      <c r="W224" s="19">
        <f t="shared" si="88"/>
        <v>131.81796449367266</v>
      </c>
      <c r="X224" s="23">
        <f t="shared" si="89"/>
        <v>1084.7419644936726</v>
      </c>
      <c r="Y224" s="22">
        <f>(1/(2*LOG(3.7*$I224/'Calculation Constants'!$B$3*1000)))^2</f>
        <v>9.8211436332891755E-3</v>
      </c>
      <c r="Z224" s="19">
        <f t="shared" si="90"/>
        <v>1.431963236834217</v>
      </c>
      <c r="AA224" s="19">
        <f>IF($H224&gt;0,'Calculation Constants'!$B$9*Hydraulics!$K224^2/2/9.81/MAX($F$4:$F$263)*$H224,"")</f>
        <v>7.5705987075825154E-2</v>
      </c>
      <c r="AB224" s="19">
        <f t="shared" si="109"/>
        <v>1.5076692239100422</v>
      </c>
      <c r="AC224" s="19">
        <f t="shared" si="91"/>
        <v>0</v>
      </c>
      <c r="AD224" s="19">
        <f t="shared" si="102"/>
        <v>120.45837701964547</v>
      </c>
      <c r="AE224" s="23">
        <f t="shared" si="92"/>
        <v>1073.3823770196454</v>
      </c>
      <c r="AF224" s="27">
        <f>(1/(2*LOG(3.7*$I224/'Calculation Constants'!$B$4*1000)))^2</f>
        <v>1.1575055557914658E-2</v>
      </c>
      <c r="AG224" s="19">
        <f t="shared" si="93"/>
        <v>1.6876908272744866</v>
      </c>
      <c r="AH224" s="19">
        <f>IF($H224&gt;0,'Calculation Constants'!$B$9*Hydraulics!$K224^2/2/9.81/MAX($F$4:$F$263)*$H224,"")</f>
        <v>7.5705987075825154E-2</v>
      </c>
      <c r="AI224" s="19">
        <f t="shared" si="103"/>
        <v>1.7633968143503118</v>
      </c>
      <c r="AJ224" s="19">
        <f t="shared" si="94"/>
        <v>0</v>
      </c>
      <c r="AK224" s="19">
        <f t="shared" si="104"/>
        <v>101.93898721508776</v>
      </c>
      <c r="AL224" s="23">
        <f t="shared" si="95"/>
        <v>1054.8629872150877</v>
      </c>
      <c r="AM224" s="22">
        <f>(1/(2*LOG(3.7*($I224-0.008)/'Calculation Constants'!$B$5*1000)))^2</f>
        <v>1.4709705891825043E-2</v>
      </c>
      <c r="AN224" s="19">
        <f t="shared" si="105"/>
        <v>2.1543104841910781</v>
      </c>
      <c r="AO224" s="19">
        <f>IF($H224&gt;0,'Calculation Constants'!$B$9*Hydraulics!$K224^2/2/9.81/MAX($F$4:$F$263)*$H224,"")</f>
        <v>7.5705987075825154E-2</v>
      </c>
      <c r="AP224" s="19">
        <f t="shared" si="106"/>
        <v>2.2300164712669033</v>
      </c>
      <c r="AQ224" s="19">
        <f t="shared" si="96"/>
        <v>0</v>
      </c>
      <c r="AR224" s="19">
        <f t="shared" si="107"/>
        <v>68.232414916556536</v>
      </c>
      <c r="AS224" s="23">
        <f t="shared" si="97"/>
        <v>1021.1564149165565</v>
      </c>
    </row>
    <row r="225" spans="5:45">
      <c r="E225" s="35" t="str">
        <f t="shared" si="83"/>
        <v/>
      </c>
      <c r="F225" s="19">
        <f>'Profile data'!A225</f>
        <v>444</v>
      </c>
      <c r="G225" s="19">
        <f>VLOOKUP(F225,'Profile data'!A225:C484,IF($B$22="Botswana 1",2,3))</f>
        <v>945.68299999999999</v>
      </c>
      <c r="H225" s="19">
        <f t="shared" si="108"/>
        <v>2</v>
      </c>
      <c r="I225" s="19">
        <v>1.8</v>
      </c>
      <c r="J225" s="36">
        <f>'Flow Rate Calculations'!$B$7</f>
        <v>4.0831050228310497</v>
      </c>
      <c r="K225" s="36">
        <f t="shared" si="98"/>
        <v>1.6045588828318709</v>
      </c>
      <c r="L225" s="37">
        <f>$I225*$K225/'Calculation Constants'!$B$7</f>
        <v>2555934.503625989</v>
      </c>
      <c r="M225" s="37" t="str">
        <f t="shared" si="84"/>
        <v>Greater Dynamic Pressures</v>
      </c>
      <c r="N225" s="23">
        <f t="shared" si="99"/>
        <v>137.70801077961187</v>
      </c>
      <c r="O225" s="57">
        <f t="shared" si="85"/>
        <v>126.19170779573551</v>
      </c>
      <c r="P225" s="66">
        <f>MAX(I225*1000/'Calculation Constants'!$B$14,O225*10*I225*1000/2/('Calculation Constants'!$B$12*1000*'Calculation Constants'!$B$13))</f>
        <v>11.25</v>
      </c>
      <c r="Q225" s="68">
        <f t="shared" si="86"/>
        <v>992548.40161508287</v>
      </c>
      <c r="R225" s="27">
        <f>(1/(2*LOG(3.7*$I225/'Calculation Constants'!$B$2*1000)))^2</f>
        <v>8.7463077071963571E-3</v>
      </c>
      <c r="S225" s="19">
        <f t="shared" si="100"/>
        <v>1.2752477269849725</v>
      </c>
      <c r="T225" s="19">
        <f>IF($H225&gt;0,'Calculation Constants'!$B$9*Hydraulics!$K225^2/2/9.81/MAX($F$4:$F$263)*$H225,"")</f>
        <v>7.5705987075825154E-2</v>
      </c>
      <c r="U225" s="19">
        <f t="shared" si="101"/>
        <v>1.3509537140607977</v>
      </c>
      <c r="V225" s="19">
        <f t="shared" si="87"/>
        <v>0</v>
      </c>
      <c r="W225" s="19">
        <f t="shared" si="88"/>
        <v>137.70801077961187</v>
      </c>
      <c r="X225" s="23">
        <f t="shared" si="89"/>
        <v>1083.3910107796119</v>
      </c>
      <c r="Y225" s="22">
        <f>(1/(2*LOG(3.7*$I225/'Calculation Constants'!$B$3*1000)))^2</f>
        <v>9.8211436332891755E-3</v>
      </c>
      <c r="Z225" s="19">
        <f t="shared" si="90"/>
        <v>1.431963236834217</v>
      </c>
      <c r="AA225" s="19">
        <f>IF($H225&gt;0,'Calculation Constants'!$B$9*Hydraulics!$K225^2/2/9.81/MAX($F$4:$F$263)*$H225,"")</f>
        <v>7.5705987075825154E-2</v>
      </c>
      <c r="AB225" s="19">
        <f t="shared" si="109"/>
        <v>1.5076692239100422</v>
      </c>
      <c r="AC225" s="19">
        <f t="shared" si="91"/>
        <v>0</v>
      </c>
      <c r="AD225" s="19">
        <f t="shared" si="102"/>
        <v>126.19170779573551</v>
      </c>
      <c r="AE225" s="23">
        <f t="shared" si="92"/>
        <v>1071.8747077957355</v>
      </c>
      <c r="AF225" s="27">
        <f>(1/(2*LOG(3.7*$I225/'Calculation Constants'!$B$4*1000)))^2</f>
        <v>1.1575055557914658E-2</v>
      </c>
      <c r="AG225" s="19">
        <f t="shared" si="93"/>
        <v>1.6876908272744866</v>
      </c>
      <c r="AH225" s="19">
        <f>IF($H225&gt;0,'Calculation Constants'!$B$9*Hydraulics!$K225^2/2/9.81/MAX($F$4:$F$263)*$H225,"")</f>
        <v>7.5705987075825154E-2</v>
      </c>
      <c r="AI225" s="19">
        <f t="shared" si="103"/>
        <v>1.7633968143503118</v>
      </c>
      <c r="AJ225" s="19">
        <f t="shared" si="94"/>
        <v>0</v>
      </c>
      <c r="AK225" s="19">
        <f t="shared" si="104"/>
        <v>107.4165904007375</v>
      </c>
      <c r="AL225" s="23">
        <f t="shared" si="95"/>
        <v>1053.0995904007375</v>
      </c>
      <c r="AM225" s="22">
        <f>(1/(2*LOG(3.7*($I225-0.008)/'Calculation Constants'!$B$5*1000)))^2</f>
        <v>1.4709705891825043E-2</v>
      </c>
      <c r="AN225" s="19">
        <f t="shared" si="105"/>
        <v>2.1543104841910781</v>
      </c>
      <c r="AO225" s="19">
        <f>IF($H225&gt;0,'Calculation Constants'!$B$9*Hydraulics!$K225^2/2/9.81/MAX($F$4:$F$263)*$H225,"")</f>
        <v>7.5705987075825154E-2</v>
      </c>
      <c r="AP225" s="19">
        <f t="shared" si="106"/>
        <v>2.2300164712669033</v>
      </c>
      <c r="AQ225" s="19">
        <f t="shared" si="96"/>
        <v>0</v>
      </c>
      <c r="AR225" s="19">
        <f t="shared" si="107"/>
        <v>73.243398445289586</v>
      </c>
      <c r="AS225" s="23">
        <f t="shared" si="97"/>
        <v>1018.9263984452896</v>
      </c>
    </row>
    <row r="226" spans="5:45">
      <c r="E226" s="35" t="str">
        <f t="shared" si="83"/>
        <v/>
      </c>
      <c r="F226" s="19">
        <f>'Profile data'!A226</f>
        <v>446</v>
      </c>
      <c r="G226" s="19">
        <f>VLOOKUP(F226,'Profile data'!A226:C485,IF($B$22="Botswana 1",2,3))</f>
        <v>941.04200000000003</v>
      </c>
      <c r="H226" s="19">
        <f t="shared" si="108"/>
        <v>2</v>
      </c>
      <c r="I226" s="19">
        <v>1.8</v>
      </c>
      <c r="J226" s="36">
        <f>'Flow Rate Calculations'!$B$7</f>
        <v>4.0831050228310497</v>
      </c>
      <c r="K226" s="36">
        <f t="shared" si="98"/>
        <v>1.6045588828318709</v>
      </c>
      <c r="L226" s="37">
        <f>$I226*$K226/'Calculation Constants'!$B$7</f>
        <v>2555934.503625989</v>
      </c>
      <c r="M226" s="37" t="str">
        <f t="shared" si="84"/>
        <v>Greater Dynamic Pressures</v>
      </c>
      <c r="N226" s="23">
        <f t="shared" si="99"/>
        <v>140.99805706555105</v>
      </c>
      <c r="O226" s="57">
        <f t="shared" si="85"/>
        <v>129.32503857182553</v>
      </c>
      <c r="P226" s="66">
        <f>MAX(I226*1000/'Calculation Constants'!$B$14,O226*10*I226*1000/2/('Calculation Constants'!$B$12*1000*'Calculation Constants'!$B$13))</f>
        <v>11.25</v>
      </c>
      <c r="Q226" s="68">
        <f t="shared" si="86"/>
        <v>992548.40161508287</v>
      </c>
      <c r="R226" s="27">
        <f>(1/(2*LOG(3.7*$I226/'Calculation Constants'!$B$2*1000)))^2</f>
        <v>8.7463077071963571E-3</v>
      </c>
      <c r="S226" s="19">
        <f t="shared" si="100"/>
        <v>1.2752477269849725</v>
      </c>
      <c r="T226" s="19">
        <f>IF($H226&gt;0,'Calculation Constants'!$B$9*Hydraulics!$K226^2/2/9.81/MAX($F$4:$F$263)*$H226,"")</f>
        <v>7.5705987075825154E-2</v>
      </c>
      <c r="U226" s="19">
        <f t="shared" si="101"/>
        <v>1.3509537140607977</v>
      </c>
      <c r="V226" s="19">
        <f t="shared" si="87"/>
        <v>0</v>
      </c>
      <c r="W226" s="19">
        <f t="shared" si="88"/>
        <v>140.99805706555105</v>
      </c>
      <c r="X226" s="23">
        <f t="shared" si="89"/>
        <v>1082.0400570655511</v>
      </c>
      <c r="Y226" s="22">
        <f>(1/(2*LOG(3.7*$I226/'Calculation Constants'!$B$3*1000)))^2</f>
        <v>9.8211436332891755E-3</v>
      </c>
      <c r="Z226" s="19">
        <f t="shared" si="90"/>
        <v>1.431963236834217</v>
      </c>
      <c r="AA226" s="19">
        <f>IF($H226&gt;0,'Calculation Constants'!$B$9*Hydraulics!$K226^2/2/9.81/MAX($F$4:$F$263)*$H226,"")</f>
        <v>7.5705987075825154E-2</v>
      </c>
      <c r="AB226" s="19">
        <f t="shared" si="109"/>
        <v>1.5076692239100422</v>
      </c>
      <c r="AC226" s="19">
        <f t="shared" si="91"/>
        <v>0</v>
      </c>
      <c r="AD226" s="19">
        <f t="shared" si="102"/>
        <v>129.32503857182553</v>
      </c>
      <c r="AE226" s="23">
        <f t="shared" si="92"/>
        <v>1070.3670385718256</v>
      </c>
      <c r="AF226" s="27">
        <f>(1/(2*LOG(3.7*$I226/'Calculation Constants'!$B$4*1000)))^2</f>
        <v>1.1575055557914658E-2</v>
      </c>
      <c r="AG226" s="19">
        <f t="shared" si="93"/>
        <v>1.6876908272744866</v>
      </c>
      <c r="AH226" s="19">
        <f>IF($H226&gt;0,'Calculation Constants'!$B$9*Hydraulics!$K226^2/2/9.81/MAX($F$4:$F$263)*$H226,"")</f>
        <v>7.5705987075825154E-2</v>
      </c>
      <c r="AI226" s="19">
        <f t="shared" si="103"/>
        <v>1.7633968143503118</v>
      </c>
      <c r="AJ226" s="19">
        <f t="shared" si="94"/>
        <v>0</v>
      </c>
      <c r="AK226" s="19">
        <f t="shared" si="104"/>
        <v>110.29419358638722</v>
      </c>
      <c r="AL226" s="23">
        <f t="shared" si="95"/>
        <v>1051.3361935863873</v>
      </c>
      <c r="AM226" s="22">
        <f>(1/(2*LOG(3.7*($I226-0.008)/'Calculation Constants'!$B$5*1000)))^2</f>
        <v>1.4709705891825043E-2</v>
      </c>
      <c r="AN226" s="19">
        <f t="shared" si="105"/>
        <v>2.1543104841910781</v>
      </c>
      <c r="AO226" s="19">
        <f>IF($H226&gt;0,'Calculation Constants'!$B$9*Hydraulics!$K226^2/2/9.81/MAX($F$4:$F$263)*$H226,"")</f>
        <v>7.5705987075825154E-2</v>
      </c>
      <c r="AP226" s="19">
        <f t="shared" si="106"/>
        <v>2.2300164712669033</v>
      </c>
      <c r="AQ226" s="19">
        <f t="shared" si="96"/>
        <v>0</v>
      </c>
      <c r="AR226" s="19">
        <f t="shared" si="107"/>
        <v>75.654381974022613</v>
      </c>
      <c r="AS226" s="23">
        <f t="shared" si="97"/>
        <v>1016.6963819740226</v>
      </c>
    </row>
    <row r="227" spans="5:45">
      <c r="E227" s="35" t="str">
        <f t="shared" si="83"/>
        <v/>
      </c>
      <c r="F227" s="19">
        <f>'Profile data'!A227</f>
        <v>448</v>
      </c>
      <c r="G227" s="19">
        <f>VLOOKUP(F227,'Profile data'!A227:C486,IF($B$22="Botswana 1",2,3))</f>
        <v>937.10400000000004</v>
      </c>
      <c r="H227" s="19">
        <f t="shared" si="108"/>
        <v>2</v>
      </c>
      <c r="I227" s="19">
        <v>1.8</v>
      </c>
      <c r="J227" s="36">
        <f>'Flow Rate Calculations'!$B$7</f>
        <v>4.0831050228310497</v>
      </c>
      <c r="K227" s="36">
        <f t="shared" si="98"/>
        <v>1.6045588828318709</v>
      </c>
      <c r="L227" s="37">
        <f>$I227*$K227/'Calculation Constants'!$B$7</f>
        <v>2555934.503625989</v>
      </c>
      <c r="M227" s="37" t="str">
        <f t="shared" si="84"/>
        <v>Greater Dynamic Pressures</v>
      </c>
      <c r="N227" s="23">
        <f t="shared" si="99"/>
        <v>143.58510335149026</v>
      </c>
      <c r="O227" s="57">
        <f t="shared" si="85"/>
        <v>131.75536934791558</v>
      </c>
      <c r="P227" s="66">
        <f>MAX(I227*1000/'Calculation Constants'!$B$14,O227*10*I227*1000/2/('Calculation Constants'!$B$12*1000*'Calculation Constants'!$B$13))</f>
        <v>11.25</v>
      </c>
      <c r="Q227" s="68">
        <f t="shared" si="86"/>
        <v>992548.40161508287</v>
      </c>
      <c r="R227" s="27">
        <f>(1/(2*LOG(3.7*$I227/'Calculation Constants'!$B$2*1000)))^2</f>
        <v>8.7463077071963571E-3</v>
      </c>
      <c r="S227" s="19">
        <f t="shared" si="100"/>
        <v>1.2752477269849725</v>
      </c>
      <c r="T227" s="19">
        <f>IF($H227&gt;0,'Calculation Constants'!$B$9*Hydraulics!$K227^2/2/9.81/MAX($F$4:$F$263)*$H227,"")</f>
        <v>7.5705987075825154E-2</v>
      </c>
      <c r="U227" s="19">
        <f t="shared" si="101"/>
        <v>1.3509537140607977</v>
      </c>
      <c r="V227" s="19">
        <f t="shared" si="87"/>
        <v>0</v>
      </c>
      <c r="W227" s="19">
        <f t="shared" si="88"/>
        <v>143.58510335149026</v>
      </c>
      <c r="X227" s="23">
        <f t="shared" si="89"/>
        <v>1080.6891033514903</v>
      </c>
      <c r="Y227" s="22">
        <f>(1/(2*LOG(3.7*$I227/'Calculation Constants'!$B$3*1000)))^2</f>
        <v>9.8211436332891755E-3</v>
      </c>
      <c r="Z227" s="19">
        <f t="shared" si="90"/>
        <v>1.431963236834217</v>
      </c>
      <c r="AA227" s="19">
        <f>IF($H227&gt;0,'Calculation Constants'!$B$9*Hydraulics!$K227^2/2/9.81/MAX($F$4:$F$263)*$H227,"")</f>
        <v>7.5705987075825154E-2</v>
      </c>
      <c r="AB227" s="19">
        <f t="shared" si="109"/>
        <v>1.5076692239100422</v>
      </c>
      <c r="AC227" s="19">
        <f t="shared" si="91"/>
        <v>0</v>
      </c>
      <c r="AD227" s="19">
        <f t="shared" si="102"/>
        <v>131.75536934791558</v>
      </c>
      <c r="AE227" s="23">
        <f t="shared" si="92"/>
        <v>1068.8593693479156</v>
      </c>
      <c r="AF227" s="27">
        <f>(1/(2*LOG(3.7*$I227/'Calculation Constants'!$B$4*1000)))^2</f>
        <v>1.1575055557914658E-2</v>
      </c>
      <c r="AG227" s="19">
        <f t="shared" si="93"/>
        <v>1.6876908272744866</v>
      </c>
      <c r="AH227" s="19">
        <f>IF($H227&gt;0,'Calculation Constants'!$B$9*Hydraulics!$K227^2/2/9.81/MAX($F$4:$F$263)*$H227,"")</f>
        <v>7.5705987075825154E-2</v>
      </c>
      <c r="AI227" s="19">
        <f t="shared" si="103"/>
        <v>1.7633968143503118</v>
      </c>
      <c r="AJ227" s="19">
        <f t="shared" si="94"/>
        <v>0</v>
      </c>
      <c r="AK227" s="19">
        <f t="shared" si="104"/>
        <v>112.46879677203697</v>
      </c>
      <c r="AL227" s="23">
        <f t="shared" si="95"/>
        <v>1049.572796772037</v>
      </c>
      <c r="AM227" s="22">
        <f>(1/(2*LOG(3.7*($I227-0.008)/'Calculation Constants'!$B$5*1000)))^2</f>
        <v>1.4709705891825043E-2</v>
      </c>
      <c r="AN227" s="19">
        <f t="shared" si="105"/>
        <v>2.1543104841910781</v>
      </c>
      <c r="AO227" s="19">
        <f>IF($H227&gt;0,'Calculation Constants'!$B$9*Hydraulics!$K227^2/2/9.81/MAX($F$4:$F$263)*$H227,"")</f>
        <v>7.5705987075825154E-2</v>
      </c>
      <c r="AP227" s="19">
        <f t="shared" si="106"/>
        <v>2.2300164712669033</v>
      </c>
      <c r="AQ227" s="19">
        <f t="shared" si="96"/>
        <v>0</v>
      </c>
      <c r="AR227" s="19">
        <f t="shared" si="107"/>
        <v>77.362365502755665</v>
      </c>
      <c r="AS227" s="23">
        <f t="shared" si="97"/>
        <v>1014.4663655027557</v>
      </c>
    </row>
    <row r="228" spans="5:45">
      <c r="E228" s="35" t="str">
        <f t="shared" si="83"/>
        <v/>
      </c>
      <c r="F228" s="19">
        <f>'Profile data'!A228</f>
        <v>450</v>
      </c>
      <c r="G228" s="19">
        <f>VLOOKUP(F228,'Profile data'!A228:C487,IF($B$22="Botswana 1",2,3))</f>
        <v>939.94299999999998</v>
      </c>
      <c r="H228" s="19">
        <f t="shared" si="108"/>
        <v>2</v>
      </c>
      <c r="I228" s="19">
        <v>1.8</v>
      </c>
      <c r="J228" s="36">
        <f>'Flow Rate Calculations'!$B$7</f>
        <v>4.0831050228310497</v>
      </c>
      <c r="K228" s="36">
        <f t="shared" si="98"/>
        <v>1.6045588828318709</v>
      </c>
      <c r="L228" s="37">
        <f>$I228*$K228/'Calculation Constants'!$B$7</f>
        <v>2555934.503625989</v>
      </c>
      <c r="M228" s="37" t="str">
        <f t="shared" si="84"/>
        <v>Greater Dynamic Pressures</v>
      </c>
      <c r="N228" s="23">
        <f t="shared" si="99"/>
        <v>139.39514963742954</v>
      </c>
      <c r="O228" s="57">
        <f t="shared" si="85"/>
        <v>127.40870012400569</v>
      </c>
      <c r="P228" s="66">
        <f>MAX(I228*1000/'Calculation Constants'!$B$14,O228*10*I228*1000/2/('Calculation Constants'!$B$12*1000*'Calculation Constants'!$B$13))</f>
        <v>11.25</v>
      </c>
      <c r="Q228" s="68">
        <f t="shared" si="86"/>
        <v>992548.40161508287</v>
      </c>
      <c r="R228" s="27">
        <f>(1/(2*LOG(3.7*$I228/'Calculation Constants'!$B$2*1000)))^2</f>
        <v>8.7463077071963571E-3</v>
      </c>
      <c r="S228" s="19">
        <f t="shared" si="100"/>
        <v>1.2752477269849725</v>
      </c>
      <c r="T228" s="19">
        <f>IF($H228&gt;0,'Calculation Constants'!$B$9*Hydraulics!$K228^2/2/9.81/MAX($F$4:$F$263)*$H228,"")</f>
        <v>7.5705987075825154E-2</v>
      </c>
      <c r="U228" s="19">
        <f t="shared" si="101"/>
        <v>1.3509537140607977</v>
      </c>
      <c r="V228" s="19">
        <f t="shared" si="87"/>
        <v>0</v>
      </c>
      <c r="W228" s="19">
        <f t="shared" si="88"/>
        <v>139.39514963742954</v>
      </c>
      <c r="X228" s="23">
        <f t="shared" si="89"/>
        <v>1079.3381496374295</v>
      </c>
      <c r="Y228" s="22">
        <f>(1/(2*LOG(3.7*$I228/'Calculation Constants'!$B$3*1000)))^2</f>
        <v>9.8211436332891755E-3</v>
      </c>
      <c r="Z228" s="19">
        <f t="shared" si="90"/>
        <v>1.431963236834217</v>
      </c>
      <c r="AA228" s="19">
        <f>IF($H228&gt;0,'Calculation Constants'!$B$9*Hydraulics!$K228^2/2/9.81/MAX($F$4:$F$263)*$H228,"")</f>
        <v>7.5705987075825154E-2</v>
      </c>
      <c r="AB228" s="19">
        <f t="shared" si="109"/>
        <v>1.5076692239100422</v>
      </c>
      <c r="AC228" s="19">
        <f t="shared" si="91"/>
        <v>0</v>
      </c>
      <c r="AD228" s="19">
        <f t="shared" si="102"/>
        <v>127.40870012400569</v>
      </c>
      <c r="AE228" s="23">
        <f t="shared" si="92"/>
        <v>1067.3517001240057</v>
      </c>
      <c r="AF228" s="27">
        <f>(1/(2*LOG(3.7*$I228/'Calculation Constants'!$B$4*1000)))^2</f>
        <v>1.1575055557914658E-2</v>
      </c>
      <c r="AG228" s="19">
        <f t="shared" si="93"/>
        <v>1.6876908272744866</v>
      </c>
      <c r="AH228" s="19">
        <f>IF($H228&gt;0,'Calculation Constants'!$B$9*Hydraulics!$K228^2/2/9.81/MAX($F$4:$F$263)*$H228,"")</f>
        <v>7.5705987075825154E-2</v>
      </c>
      <c r="AI228" s="19">
        <f t="shared" si="103"/>
        <v>1.7633968143503118</v>
      </c>
      <c r="AJ228" s="19">
        <f t="shared" si="94"/>
        <v>0</v>
      </c>
      <c r="AK228" s="19">
        <f t="shared" si="104"/>
        <v>107.86639995768678</v>
      </c>
      <c r="AL228" s="23">
        <f t="shared" si="95"/>
        <v>1047.8093999576868</v>
      </c>
      <c r="AM228" s="22">
        <f>(1/(2*LOG(3.7*($I228-0.008)/'Calculation Constants'!$B$5*1000)))^2</f>
        <v>1.4709705891825043E-2</v>
      </c>
      <c r="AN228" s="19">
        <f t="shared" si="105"/>
        <v>2.1543104841910781</v>
      </c>
      <c r="AO228" s="19">
        <f>IF($H228&gt;0,'Calculation Constants'!$B$9*Hydraulics!$K228^2/2/9.81/MAX($F$4:$F$263)*$H228,"")</f>
        <v>7.5705987075825154E-2</v>
      </c>
      <c r="AP228" s="19">
        <f t="shared" si="106"/>
        <v>2.2300164712669033</v>
      </c>
      <c r="AQ228" s="19">
        <f t="shared" si="96"/>
        <v>0</v>
      </c>
      <c r="AR228" s="19">
        <f t="shared" si="107"/>
        <v>72.293349031488788</v>
      </c>
      <c r="AS228" s="23">
        <f t="shared" si="97"/>
        <v>1012.2363490314888</v>
      </c>
    </row>
    <row r="229" spans="5:45">
      <c r="E229" s="35" t="str">
        <f t="shared" si="83"/>
        <v/>
      </c>
      <c r="F229" s="19">
        <f>'Profile data'!A229</f>
        <v>452</v>
      </c>
      <c r="G229" s="19">
        <f>VLOOKUP(F229,'Profile data'!A229:C488,IF($B$22="Botswana 1",2,3))</f>
        <v>944.77599999999995</v>
      </c>
      <c r="H229" s="19">
        <f t="shared" si="108"/>
        <v>2</v>
      </c>
      <c r="I229" s="19">
        <v>1.8</v>
      </c>
      <c r="J229" s="36">
        <f>'Flow Rate Calculations'!$B$7</f>
        <v>4.0831050228310497</v>
      </c>
      <c r="K229" s="36">
        <f t="shared" si="98"/>
        <v>1.6045588828318709</v>
      </c>
      <c r="L229" s="37">
        <f>$I229*$K229/'Calculation Constants'!$B$7</f>
        <v>2555934.503625989</v>
      </c>
      <c r="M229" s="37" t="str">
        <f t="shared" si="84"/>
        <v>Greater Dynamic Pressures</v>
      </c>
      <c r="N229" s="23">
        <f t="shared" si="99"/>
        <v>133.21119592336879</v>
      </c>
      <c r="O229" s="57">
        <f t="shared" si="85"/>
        <v>121.06803090009578</v>
      </c>
      <c r="P229" s="66">
        <f>MAX(I229*1000/'Calculation Constants'!$B$14,O229*10*I229*1000/2/('Calculation Constants'!$B$12*1000*'Calculation Constants'!$B$13))</f>
        <v>11.25</v>
      </c>
      <c r="Q229" s="68">
        <f t="shared" si="86"/>
        <v>992548.40161508287</v>
      </c>
      <c r="R229" s="27">
        <f>(1/(2*LOG(3.7*$I229/'Calculation Constants'!$B$2*1000)))^2</f>
        <v>8.7463077071963571E-3</v>
      </c>
      <c r="S229" s="19">
        <f t="shared" si="100"/>
        <v>1.2752477269849725</v>
      </c>
      <c r="T229" s="19">
        <f>IF($H229&gt;0,'Calculation Constants'!$B$9*Hydraulics!$K229^2/2/9.81/MAX($F$4:$F$263)*$H229,"")</f>
        <v>7.5705987075825154E-2</v>
      </c>
      <c r="U229" s="19">
        <f t="shared" si="101"/>
        <v>1.3509537140607977</v>
      </c>
      <c r="V229" s="19">
        <f t="shared" si="87"/>
        <v>0</v>
      </c>
      <c r="W229" s="19">
        <f t="shared" si="88"/>
        <v>133.21119592336879</v>
      </c>
      <c r="X229" s="23">
        <f t="shared" si="89"/>
        <v>1077.9871959233687</v>
      </c>
      <c r="Y229" s="22">
        <f>(1/(2*LOG(3.7*$I229/'Calculation Constants'!$B$3*1000)))^2</f>
        <v>9.8211436332891755E-3</v>
      </c>
      <c r="Z229" s="19">
        <f t="shared" si="90"/>
        <v>1.431963236834217</v>
      </c>
      <c r="AA229" s="19">
        <f>IF($H229&gt;0,'Calculation Constants'!$B$9*Hydraulics!$K229^2/2/9.81/MAX($F$4:$F$263)*$H229,"")</f>
        <v>7.5705987075825154E-2</v>
      </c>
      <c r="AB229" s="19">
        <f t="shared" si="109"/>
        <v>1.5076692239100422</v>
      </c>
      <c r="AC229" s="19">
        <f t="shared" si="91"/>
        <v>0</v>
      </c>
      <c r="AD229" s="19">
        <f t="shared" si="102"/>
        <v>121.06803090009578</v>
      </c>
      <c r="AE229" s="23">
        <f t="shared" si="92"/>
        <v>1065.8440309000957</v>
      </c>
      <c r="AF229" s="27">
        <f>(1/(2*LOG(3.7*$I229/'Calculation Constants'!$B$4*1000)))^2</f>
        <v>1.1575055557914658E-2</v>
      </c>
      <c r="AG229" s="19">
        <f t="shared" si="93"/>
        <v>1.6876908272744866</v>
      </c>
      <c r="AH229" s="19">
        <f>IF($H229&gt;0,'Calculation Constants'!$B$9*Hydraulics!$K229^2/2/9.81/MAX($F$4:$F$263)*$H229,"")</f>
        <v>7.5705987075825154E-2</v>
      </c>
      <c r="AI229" s="19">
        <f t="shared" si="103"/>
        <v>1.7633968143503118</v>
      </c>
      <c r="AJ229" s="19">
        <f t="shared" si="94"/>
        <v>0</v>
      </c>
      <c r="AK229" s="19">
        <f t="shared" si="104"/>
        <v>101.27000314333657</v>
      </c>
      <c r="AL229" s="23">
        <f t="shared" si="95"/>
        <v>1046.0460031433365</v>
      </c>
      <c r="AM229" s="22">
        <f>(1/(2*LOG(3.7*($I229-0.008)/'Calculation Constants'!$B$5*1000)))^2</f>
        <v>1.4709705891825043E-2</v>
      </c>
      <c r="AN229" s="19">
        <f t="shared" si="105"/>
        <v>2.1543104841910781</v>
      </c>
      <c r="AO229" s="19">
        <f>IF($H229&gt;0,'Calculation Constants'!$B$9*Hydraulics!$K229^2/2/9.81/MAX($F$4:$F$263)*$H229,"")</f>
        <v>7.5705987075825154E-2</v>
      </c>
      <c r="AP229" s="19">
        <f t="shared" si="106"/>
        <v>2.2300164712669033</v>
      </c>
      <c r="AQ229" s="19">
        <f t="shared" si="96"/>
        <v>0</v>
      </c>
      <c r="AR229" s="19">
        <f t="shared" si="107"/>
        <v>65.230332560221882</v>
      </c>
      <c r="AS229" s="23">
        <f t="shared" si="97"/>
        <v>1010.0063325602218</v>
      </c>
    </row>
    <row r="230" spans="5:45">
      <c r="E230" s="35" t="str">
        <f t="shared" si="83"/>
        <v/>
      </c>
      <c r="F230" s="19">
        <f>'Profile data'!A230</f>
        <v>454</v>
      </c>
      <c r="G230" s="19">
        <f>VLOOKUP(F230,'Profile data'!A230:C489,IF($B$22="Botswana 1",2,3))</f>
        <v>947.76199999999994</v>
      </c>
      <c r="H230" s="19">
        <f t="shared" si="108"/>
        <v>2</v>
      </c>
      <c r="I230" s="19">
        <v>1.8</v>
      </c>
      <c r="J230" s="36">
        <f>'Flow Rate Calculations'!$B$7</f>
        <v>4.0831050228310497</v>
      </c>
      <c r="K230" s="36">
        <f t="shared" si="98"/>
        <v>1.6045588828318709</v>
      </c>
      <c r="L230" s="37">
        <f>$I230*$K230/'Calculation Constants'!$B$7</f>
        <v>2555934.503625989</v>
      </c>
      <c r="M230" s="37" t="str">
        <f t="shared" si="84"/>
        <v>Greater Dynamic Pressures</v>
      </c>
      <c r="N230" s="23">
        <f t="shared" si="99"/>
        <v>128.87424220930802</v>
      </c>
      <c r="O230" s="57">
        <f t="shared" si="85"/>
        <v>116.57436167618584</v>
      </c>
      <c r="P230" s="66">
        <f>MAX(I230*1000/'Calculation Constants'!$B$14,O230*10*I230*1000/2/('Calculation Constants'!$B$12*1000*'Calculation Constants'!$B$13))</f>
        <v>11.25</v>
      </c>
      <c r="Q230" s="68">
        <f t="shared" si="86"/>
        <v>992548.40161508287</v>
      </c>
      <c r="R230" s="27">
        <f>(1/(2*LOG(3.7*$I230/'Calculation Constants'!$B$2*1000)))^2</f>
        <v>8.7463077071963571E-3</v>
      </c>
      <c r="S230" s="19">
        <f t="shared" si="100"/>
        <v>1.2752477269849725</v>
      </c>
      <c r="T230" s="19">
        <f>IF($H230&gt;0,'Calculation Constants'!$B$9*Hydraulics!$K230^2/2/9.81/MAX($F$4:$F$263)*$H230,"")</f>
        <v>7.5705987075825154E-2</v>
      </c>
      <c r="U230" s="19">
        <f t="shared" si="101"/>
        <v>1.3509537140607977</v>
      </c>
      <c r="V230" s="19">
        <f t="shared" si="87"/>
        <v>0</v>
      </c>
      <c r="W230" s="19">
        <f t="shared" si="88"/>
        <v>128.87424220930802</v>
      </c>
      <c r="X230" s="23">
        <f t="shared" si="89"/>
        <v>1076.636242209308</v>
      </c>
      <c r="Y230" s="22">
        <f>(1/(2*LOG(3.7*$I230/'Calculation Constants'!$B$3*1000)))^2</f>
        <v>9.8211436332891755E-3</v>
      </c>
      <c r="Z230" s="19">
        <f t="shared" si="90"/>
        <v>1.431963236834217</v>
      </c>
      <c r="AA230" s="19">
        <f>IF($H230&gt;0,'Calculation Constants'!$B$9*Hydraulics!$K230^2/2/9.81/MAX($F$4:$F$263)*$H230,"")</f>
        <v>7.5705987075825154E-2</v>
      </c>
      <c r="AB230" s="19">
        <f t="shared" si="109"/>
        <v>1.5076692239100422</v>
      </c>
      <c r="AC230" s="19">
        <f t="shared" si="91"/>
        <v>0</v>
      </c>
      <c r="AD230" s="19">
        <f t="shared" si="102"/>
        <v>116.57436167618584</v>
      </c>
      <c r="AE230" s="23">
        <f t="shared" si="92"/>
        <v>1064.3363616761858</v>
      </c>
      <c r="AF230" s="27">
        <f>(1/(2*LOG(3.7*$I230/'Calculation Constants'!$B$4*1000)))^2</f>
        <v>1.1575055557914658E-2</v>
      </c>
      <c r="AG230" s="19">
        <f t="shared" si="93"/>
        <v>1.6876908272744866</v>
      </c>
      <c r="AH230" s="19">
        <f>IF($H230&gt;0,'Calculation Constants'!$B$9*Hydraulics!$K230^2/2/9.81/MAX($F$4:$F$263)*$H230,"")</f>
        <v>7.5705987075825154E-2</v>
      </c>
      <c r="AI230" s="19">
        <f t="shared" si="103"/>
        <v>1.7633968143503118</v>
      </c>
      <c r="AJ230" s="19">
        <f t="shared" si="94"/>
        <v>0</v>
      </c>
      <c r="AK230" s="19">
        <f t="shared" si="104"/>
        <v>96.520606328986332</v>
      </c>
      <c r="AL230" s="23">
        <f t="shared" si="95"/>
        <v>1044.2826063289863</v>
      </c>
      <c r="AM230" s="22">
        <f>(1/(2*LOG(3.7*($I230-0.008)/'Calculation Constants'!$B$5*1000)))^2</f>
        <v>1.4709705891825043E-2</v>
      </c>
      <c r="AN230" s="19">
        <f t="shared" si="105"/>
        <v>2.1543104841910781</v>
      </c>
      <c r="AO230" s="19">
        <f>IF($H230&gt;0,'Calculation Constants'!$B$9*Hydraulics!$K230^2/2/9.81/MAX($F$4:$F$263)*$H230,"")</f>
        <v>7.5705987075825154E-2</v>
      </c>
      <c r="AP230" s="19">
        <f t="shared" si="106"/>
        <v>2.2300164712669033</v>
      </c>
      <c r="AQ230" s="19">
        <f t="shared" si="96"/>
        <v>0</v>
      </c>
      <c r="AR230" s="19">
        <f t="shared" si="107"/>
        <v>60.014316088954956</v>
      </c>
      <c r="AS230" s="23">
        <f t="shared" si="97"/>
        <v>1007.7763160889549</v>
      </c>
    </row>
    <row r="231" spans="5:45">
      <c r="E231" s="35" t="str">
        <f t="shared" si="83"/>
        <v/>
      </c>
      <c r="F231" s="19">
        <f>'Profile data'!A231</f>
        <v>456</v>
      </c>
      <c r="G231" s="19">
        <f>VLOOKUP(F231,'Profile data'!A231:C490,IF($B$22="Botswana 1",2,3))</f>
        <v>952.649</v>
      </c>
      <c r="H231" s="19">
        <f t="shared" si="108"/>
        <v>2</v>
      </c>
      <c r="I231" s="19">
        <v>1.8</v>
      </c>
      <c r="J231" s="36">
        <f>'Flow Rate Calculations'!$B$7</f>
        <v>4.0831050228310497</v>
      </c>
      <c r="K231" s="36">
        <f t="shared" si="98"/>
        <v>1.6045588828318709</v>
      </c>
      <c r="L231" s="37">
        <f>$I231*$K231/'Calculation Constants'!$B$7</f>
        <v>2555934.503625989</v>
      </c>
      <c r="M231" s="37" t="str">
        <f t="shared" si="84"/>
        <v>Greater Dynamic Pressures</v>
      </c>
      <c r="N231" s="23">
        <f t="shared" si="99"/>
        <v>122.63628849524719</v>
      </c>
      <c r="O231" s="57">
        <f t="shared" si="85"/>
        <v>110.17969245227584</v>
      </c>
      <c r="P231" s="66">
        <f>MAX(I231*1000/'Calculation Constants'!$B$14,O231*10*I231*1000/2/('Calculation Constants'!$B$12*1000*'Calculation Constants'!$B$13))</f>
        <v>11.25</v>
      </c>
      <c r="Q231" s="68">
        <f t="shared" si="86"/>
        <v>992548.40161508287</v>
      </c>
      <c r="R231" s="27">
        <f>(1/(2*LOG(3.7*$I231/'Calculation Constants'!$B$2*1000)))^2</f>
        <v>8.7463077071963571E-3</v>
      </c>
      <c r="S231" s="19">
        <f t="shared" si="100"/>
        <v>1.2752477269849725</v>
      </c>
      <c r="T231" s="19">
        <f>IF($H231&gt;0,'Calculation Constants'!$B$9*Hydraulics!$K231^2/2/9.81/MAX($F$4:$F$263)*$H231,"")</f>
        <v>7.5705987075825154E-2</v>
      </c>
      <c r="U231" s="19">
        <f t="shared" si="101"/>
        <v>1.3509537140607977</v>
      </c>
      <c r="V231" s="19">
        <f t="shared" si="87"/>
        <v>0</v>
      </c>
      <c r="W231" s="19">
        <f t="shared" si="88"/>
        <v>122.63628849524719</v>
      </c>
      <c r="X231" s="23">
        <f t="shared" si="89"/>
        <v>1075.2852884952472</v>
      </c>
      <c r="Y231" s="22">
        <f>(1/(2*LOG(3.7*$I231/'Calculation Constants'!$B$3*1000)))^2</f>
        <v>9.8211436332891755E-3</v>
      </c>
      <c r="Z231" s="19">
        <f t="shared" si="90"/>
        <v>1.431963236834217</v>
      </c>
      <c r="AA231" s="19">
        <f>IF($H231&gt;0,'Calculation Constants'!$B$9*Hydraulics!$K231^2/2/9.81/MAX($F$4:$F$263)*$H231,"")</f>
        <v>7.5705987075825154E-2</v>
      </c>
      <c r="AB231" s="19">
        <f t="shared" si="109"/>
        <v>1.5076692239100422</v>
      </c>
      <c r="AC231" s="19">
        <f t="shared" si="91"/>
        <v>0</v>
      </c>
      <c r="AD231" s="19">
        <f t="shared" si="102"/>
        <v>110.17969245227584</v>
      </c>
      <c r="AE231" s="23">
        <f t="shared" si="92"/>
        <v>1062.8286924522758</v>
      </c>
      <c r="AF231" s="27">
        <f>(1/(2*LOG(3.7*$I231/'Calculation Constants'!$B$4*1000)))^2</f>
        <v>1.1575055557914658E-2</v>
      </c>
      <c r="AG231" s="19">
        <f t="shared" si="93"/>
        <v>1.6876908272744866</v>
      </c>
      <c r="AH231" s="19">
        <f>IF($H231&gt;0,'Calculation Constants'!$B$9*Hydraulics!$K231^2/2/9.81/MAX($F$4:$F$263)*$H231,"")</f>
        <v>7.5705987075825154E-2</v>
      </c>
      <c r="AI231" s="19">
        <f t="shared" si="103"/>
        <v>1.7633968143503118</v>
      </c>
      <c r="AJ231" s="19">
        <f t="shared" si="94"/>
        <v>0</v>
      </c>
      <c r="AK231" s="19">
        <f t="shared" si="104"/>
        <v>89.870209514636031</v>
      </c>
      <c r="AL231" s="23">
        <f t="shared" si="95"/>
        <v>1042.519209514636</v>
      </c>
      <c r="AM231" s="22">
        <f>(1/(2*LOG(3.7*($I231-0.008)/'Calculation Constants'!$B$5*1000)))^2</f>
        <v>1.4709705891825043E-2</v>
      </c>
      <c r="AN231" s="19">
        <f t="shared" si="105"/>
        <v>2.1543104841910781</v>
      </c>
      <c r="AO231" s="19">
        <f>IF($H231&gt;0,'Calculation Constants'!$B$9*Hydraulics!$K231^2/2/9.81/MAX($F$4:$F$263)*$H231,"")</f>
        <v>7.5705987075825154E-2</v>
      </c>
      <c r="AP231" s="19">
        <f t="shared" si="106"/>
        <v>2.2300164712669033</v>
      </c>
      <c r="AQ231" s="19">
        <f t="shared" si="96"/>
        <v>0</v>
      </c>
      <c r="AR231" s="19">
        <f t="shared" si="107"/>
        <v>52.897299617687963</v>
      </c>
      <c r="AS231" s="23">
        <f t="shared" si="97"/>
        <v>1005.546299617688</v>
      </c>
    </row>
    <row r="232" spans="5:45">
      <c r="E232" s="35" t="str">
        <f t="shared" si="83"/>
        <v/>
      </c>
      <c r="F232" s="19">
        <f>'Profile data'!A232</f>
        <v>458</v>
      </c>
      <c r="G232" s="19">
        <f>VLOOKUP(F232,'Profile data'!A232:C491,IF($B$22="Botswana 1",2,3))</f>
        <v>954.55399999999997</v>
      </c>
      <c r="H232" s="19">
        <f t="shared" si="108"/>
        <v>2</v>
      </c>
      <c r="I232" s="19">
        <v>1.8</v>
      </c>
      <c r="J232" s="36">
        <f>'Flow Rate Calculations'!$B$7</f>
        <v>4.0831050228310497</v>
      </c>
      <c r="K232" s="36">
        <f t="shared" si="98"/>
        <v>1.6045588828318709</v>
      </c>
      <c r="L232" s="37">
        <f>$I232*$K232/'Calculation Constants'!$B$7</f>
        <v>2555934.503625989</v>
      </c>
      <c r="M232" s="37" t="str">
        <f t="shared" si="84"/>
        <v>Greater Dynamic Pressures</v>
      </c>
      <c r="N232" s="23">
        <f t="shared" si="99"/>
        <v>119.38033478118643</v>
      </c>
      <c r="O232" s="57">
        <f t="shared" si="85"/>
        <v>106.76702322836593</v>
      </c>
      <c r="P232" s="66">
        <f>MAX(I232*1000/'Calculation Constants'!$B$14,O232*10*I232*1000/2/('Calculation Constants'!$B$12*1000*'Calculation Constants'!$B$13))</f>
        <v>11.25</v>
      </c>
      <c r="Q232" s="68">
        <f t="shared" si="86"/>
        <v>992548.40161508287</v>
      </c>
      <c r="R232" s="27">
        <f>(1/(2*LOG(3.7*$I232/'Calculation Constants'!$B$2*1000)))^2</f>
        <v>8.7463077071963571E-3</v>
      </c>
      <c r="S232" s="19">
        <f t="shared" si="100"/>
        <v>1.2752477269849725</v>
      </c>
      <c r="T232" s="19">
        <f>IF($H232&gt;0,'Calculation Constants'!$B$9*Hydraulics!$K232^2/2/9.81/MAX($F$4:$F$263)*$H232,"")</f>
        <v>7.5705987075825154E-2</v>
      </c>
      <c r="U232" s="19">
        <f t="shared" si="101"/>
        <v>1.3509537140607977</v>
      </c>
      <c r="V232" s="19">
        <f t="shared" si="87"/>
        <v>0</v>
      </c>
      <c r="W232" s="19">
        <f t="shared" si="88"/>
        <v>119.38033478118643</v>
      </c>
      <c r="X232" s="23">
        <f t="shared" si="89"/>
        <v>1073.9343347811864</v>
      </c>
      <c r="Y232" s="22">
        <f>(1/(2*LOG(3.7*$I232/'Calculation Constants'!$B$3*1000)))^2</f>
        <v>9.8211436332891755E-3</v>
      </c>
      <c r="Z232" s="19">
        <f t="shared" si="90"/>
        <v>1.431963236834217</v>
      </c>
      <c r="AA232" s="19">
        <f>IF($H232&gt;0,'Calculation Constants'!$B$9*Hydraulics!$K232^2/2/9.81/MAX($F$4:$F$263)*$H232,"")</f>
        <v>7.5705987075825154E-2</v>
      </c>
      <c r="AB232" s="19">
        <f t="shared" si="109"/>
        <v>1.5076692239100422</v>
      </c>
      <c r="AC232" s="19">
        <f t="shared" si="91"/>
        <v>0</v>
      </c>
      <c r="AD232" s="19">
        <f t="shared" si="102"/>
        <v>106.76702322836593</v>
      </c>
      <c r="AE232" s="23">
        <f t="shared" si="92"/>
        <v>1061.3210232283659</v>
      </c>
      <c r="AF232" s="27">
        <f>(1/(2*LOG(3.7*$I232/'Calculation Constants'!$B$4*1000)))^2</f>
        <v>1.1575055557914658E-2</v>
      </c>
      <c r="AG232" s="19">
        <f t="shared" si="93"/>
        <v>1.6876908272744866</v>
      </c>
      <c r="AH232" s="19">
        <f>IF($H232&gt;0,'Calculation Constants'!$B$9*Hydraulics!$K232^2/2/9.81/MAX($F$4:$F$263)*$H232,"")</f>
        <v>7.5705987075825154E-2</v>
      </c>
      <c r="AI232" s="19">
        <f t="shared" si="103"/>
        <v>1.7633968143503118</v>
      </c>
      <c r="AJ232" s="19">
        <f t="shared" si="94"/>
        <v>0</v>
      </c>
      <c r="AK232" s="19">
        <f t="shared" si="104"/>
        <v>86.201812700285814</v>
      </c>
      <c r="AL232" s="23">
        <f t="shared" si="95"/>
        <v>1040.7558127002858</v>
      </c>
      <c r="AM232" s="22">
        <f>(1/(2*LOG(3.7*($I232-0.008)/'Calculation Constants'!$B$5*1000)))^2</f>
        <v>1.4709705891825043E-2</v>
      </c>
      <c r="AN232" s="19">
        <f t="shared" si="105"/>
        <v>2.1543104841910781</v>
      </c>
      <c r="AO232" s="19">
        <f>IF($H232&gt;0,'Calculation Constants'!$B$9*Hydraulics!$K232^2/2/9.81/MAX($F$4:$F$263)*$H232,"")</f>
        <v>7.5705987075825154E-2</v>
      </c>
      <c r="AP232" s="19">
        <f t="shared" si="106"/>
        <v>2.2300164712669033</v>
      </c>
      <c r="AQ232" s="19">
        <f t="shared" si="96"/>
        <v>0</v>
      </c>
      <c r="AR232" s="19">
        <f t="shared" si="107"/>
        <v>48.762283146421055</v>
      </c>
      <c r="AS232" s="23">
        <f t="shared" si="97"/>
        <v>1003.316283146421</v>
      </c>
    </row>
    <row r="233" spans="5:45">
      <c r="E233" s="35" t="str">
        <f t="shared" si="83"/>
        <v/>
      </c>
      <c r="F233" s="19">
        <f>'Profile data'!A233</f>
        <v>460</v>
      </c>
      <c r="G233" s="19">
        <f>VLOOKUP(F233,'Profile data'!A233:C492,IF($B$22="Botswana 1",2,3))</f>
        <v>952.37</v>
      </c>
      <c r="H233" s="19">
        <f t="shared" si="108"/>
        <v>2</v>
      </c>
      <c r="I233" s="19">
        <v>1.8</v>
      </c>
      <c r="J233" s="36">
        <f>'Flow Rate Calculations'!$B$7</f>
        <v>4.0831050228310497</v>
      </c>
      <c r="K233" s="36">
        <f t="shared" si="98"/>
        <v>1.6045588828318709</v>
      </c>
      <c r="L233" s="37">
        <f>$I233*$K233/'Calculation Constants'!$B$7</f>
        <v>2555934.503625989</v>
      </c>
      <c r="M233" s="37" t="str">
        <f t="shared" si="84"/>
        <v>Greater Dynamic Pressures</v>
      </c>
      <c r="N233" s="23">
        <f t="shared" si="99"/>
        <v>120.21338106712562</v>
      </c>
      <c r="O233" s="57">
        <f t="shared" si="85"/>
        <v>107.44335400445595</v>
      </c>
      <c r="P233" s="66">
        <f>MAX(I233*1000/'Calculation Constants'!$B$14,O233*10*I233*1000/2/('Calculation Constants'!$B$12*1000*'Calculation Constants'!$B$13))</f>
        <v>11.25</v>
      </c>
      <c r="Q233" s="68">
        <f t="shared" si="86"/>
        <v>992548.40161508287</v>
      </c>
      <c r="R233" s="27">
        <f>(1/(2*LOG(3.7*$I233/'Calculation Constants'!$B$2*1000)))^2</f>
        <v>8.7463077071963571E-3</v>
      </c>
      <c r="S233" s="19">
        <f t="shared" si="100"/>
        <v>1.2752477269849725</v>
      </c>
      <c r="T233" s="19">
        <f>IF($H233&gt;0,'Calculation Constants'!$B$9*Hydraulics!$K233^2/2/9.81/MAX($F$4:$F$263)*$H233,"")</f>
        <v>7.5705987075825154E-2</v>
      </c>
      <c r="U233" s="19">
        <f t="shared" si="101"/>
        <v>1.3509537140607977</v>
      </c>
      <c r="V233" s="19">
        <f t="shared" si="87"/>
        <v>0</v>
      </c>
      <c r="W233" s="19">
        <f t="shared" si="88"/>
        <v>120.21338106712562</v>
      </c>
      <c r="X233" s="23">
        <f t="shared" si="89"/>
        <v>1072.5833810671256</v>
      </c>
      <c r="Y233" s="22">
        <f>(1/(2*LOG(3.7*$I233/'Calculation Constants'!$B$3*1000)))^2</f>
        <v>9.8211436332891755E-3</v>
      </c>
      <c r="Z233" s="19">
        <f t="shared" si="90"/>
        <v>1.431963236834217</v>
      </c>
      <c r="AA233" s="19">
        <f>IF($H233&gt;0,'Calculation Constants'!$B$9*Hydraulics!$K233^2/2/9.81/MAX($F$4:$F$263)*$H233,"")</f>
        <v>7.5705987075825154E-2</v>
      </c>
      <c r="AB233" s="19">
        <f t="shared" si="109"/>
        <v>1.5076692239100422</v>
      </c>
      <c r="AC233" s="19">
        <f t="shared" si="91"/>
        <v>0</v>
      </c>
      <c r="AD233" s="19">
        <f t="shared" si="102"/>
        <v>107.44335400445595</v>
      </c>
      <c r="AE233" s="23">
        <f t="shared" si="92"/>
        <v>1059.813354004456</v>
      </c>
      <c r="AF233" s="27">
        <f>(1/(2*LOG(3.7*$I233/'Calculation Constants'!$B$4*1000)))^2</f>
        <v>1.1575055557914658E-2</v>
      </c>
      <c r="AG233" s="19">
        <f t="shared" si="93"/>
        <v>1.6876908272744866</v>
      </c>
      <c r="AH233" s="19">
        <f>IF($H233&gt;0,'Calculation Constants'!$B$9*Hydraulics!$K233^2/2/9.81/MAX($F$4:$F$263)*$H233,"")</f>
        <v>7.5705987075825154E-2</v>
      </c>
      <c r="AI233" s="19">
        <f t="shared" si="103"/>
        <v>1.7633968143503118</v>
      </c>
      <c r="AJ233" s="19">
        <f t="shared" si="94"/>
        <v>0</v>
      </c>
      <c r="AK233" s="19">
        <f t="shared" si="104"/>
        <v>86.622415885935538</v>
      </c>
      <c r="AL233" s="23">
        <f t="shared" si="95"/>
        <v>1038.9924158859355</v>
      </c>
      <c r="AM233" s="22">
        <f>(1/(2*LOG(3.7*($I233-0.008)/'Calculation Constants'!$B$5*1000)))^2</f>
        <v>1.4709705891825043E-2</v>
      </c>
      <c r="AN233" s="19">
        <f t="shared" si="105"/>
        <v>2.1543104841910781</v>
      </c>
      <c r="AO233" s="19">
        <f>IF($H233&gt;0,'Calculation Constants'!$B$9*Hydraulics!$K233^2/2/9.81/MAX($F$4:$F$263)*$H233,"")</f>
        <v>7.5705987075825154E-2</v>
      </c>
      <c r="AP233" s="19">
        <f t="shared" si="106"/>
        <v>2.2300164712669033</v>
      </c>
      <c r="AQ233" s="19">
        <f t="shared" si="96"/>
        <v>0</v>
      </c>
      <c r="AR233" s="19">
        <f t="shared" si="107"/>
        <v>48.716266675154088</v>
      </c>
      <c r="AS233" s="23">
        <f t="shared" si="97"/>
        <v>1001.0862666751541</v>
      </c>
    </row>
    <row r="234" spans="5:45">
      <c r="E234" s="35" t="str">
        <f t="shared" si="83"/>
        <v/>
      </c>
      <c r="F234" s="19">
        <f>'Profile data'!A234</f>
        <v>462</v>
      </c>
      <c r="G234" s="19">
        <f>VLOOKUP(F234,'Profile data'!A234:C493,IF($B$22="Botswana 1",2,3))</f>
        <v>947.55200000000002</v>
      </c>
      <c r="H234" s="19">
        <f t="shared" si="108"/>
        <v>2</v>
      </c>
      <c r="I234" s="19">
        <v>1.8</v>
      </c>
      <c r="J234" s="36">
        <f>'Flow Rate Calculations'!$B$7</f>
        <v>4.0831050228310497</v>
      </c>
      <c r="K234" s="36">
        <f t="shared" si="98"/>
        <v>1.6045588828318709</v>
      </c>
      <c r="L234" s="37">
        <f>$I234*$K234/'Calculation Constants'!$B$7</f>
        <v>2555934.503625989</v>
      </c>
      <c r="M234" s="37" t="str">
        <f t="shared" si="84"/>
        <v>Greater Dynamic Pressures</v>
      </c>
      <c r="N234" s="23">
        <f t="shared" si="99"/>
        <v>123.68042735306483</v>
      </c>
      <c r="O234" s="57">
        <f t="shared" si="85"/>
        <v>110.753684780546</v>
      </c>
      <c r="P234" s="66">
        <f>MAX(I234*1000/'Calculation Constants'!$B$14,O234*10*I234*1000/2/('Calculation Constants'!$B$12*1000*'Calculation Constants'!$B$13))</f>
        <v>11.25</v>
      </c>
      <c r="Q234" s="68">
        <f t="shared" si="86"/>
        <v>992548.40161508287</v>
      </c>
      <c r="R234" s="27">
        <f>(1/(2*LOG(3.7*$I234/'Calculation Constants'!$B$2*1000)))^2</f>
        <v>8.7463077071963571E-3</v>
      </c>
      <c r="S234" s="19">
        <f t="shared" si="100"/>
        <v>1.2752477269849725</v>
      </c>
      <c r="T234" s="19">
        <f>IF($H234&gt;0,'Calculation Constants'!$B$9*Hydraulics!$K234^2/2/9.81/MAX($F$4:$F$263)*$H234,"")</f>
        <v>7.5705987075825154E-2</v>
      </c>
      <c r="U234" s="19">
        <f t="shared" si="101"/>
        <v>1.3509537140607977</v>
      </c>
      <c r="V234" s="19">
        <f t="shared" si="87"/>
        <v>0</v>
      </c>
      <c r="W234" s="19">
        <f t="shared" si="88"/>
        <v>123.68042735306483</v>
      </c>
      <c r="X234" s="23">
        <f t="shared" si="89"/>
        <v>1071.2324273530648</v>
      </c>
      <c r="Y234" s="22">
        <f>(1/(2*LOG(3.7*$I234/'Calculation Constants'!$B$3*1000)))^2</f>
        <v>9.8211436332891755E-3</v>
      </c>
      <c r="Z234" s="19">
        <f t="shared" si="90"/>
        <v>1.431963236834217</v>
      </c>
      <c r="AA234" s="19">
        <f>IF($H234&gt;0,'Calculation Constants'!$B$9*Hydraulics!$K234^2/2/9.81/MAX($F$4:$F$263)*$H234,"")</f>
        <v>7.5705987075825154E-2</v>
      </c>
      <c r="AB234" s="19">
        <f t="shared" si="109"/>
        <v>1.5076692239100422</v>
      </c>
      <c r="AC234" s="19">
        <f t="shared" si="91"/>
        <v>0</v>
      </c>
      <c r="AD234" s="19">
        <f t="shared" si="102"/>
        <v>110.753684780546</v>
      </c>
      <c r="AE234" s="23">
        <f t="shared" si="92"/>
        <v>1058.305684780546</v>
      </c>
      <c r="AF234" s="27">
        <f>(1/(2*LOG(3.7*$I234/'Calculation Constants'!$B$4*1000)))^2</f>
        <v>1.1575055557914658E-2</v>
      </c>
      <c r="AG234" s="19">
        <f t="shared" si="93"/>
        <v>1.6876908272744866</v>
      </c>
      <c r="AH234" s="19">
        <f>IF($H234&gt;0,'Calculation Constants'!$B$9*Hydraulics!$K234^2/2/9.81/MAX($F$4:$F$263)*$H234,"")</f>
        <v>7.5705987075825154E-2</v>
      </c>
      <c r="AI234" s="19">
        <f t="shared" si="103"/>
        <v>1.7633968143503118</v>
      </c>
      <c r="AJ234" s="19">
        <f t="shared" si="94"/>
        <v>0</v>
      </c>
      <c r="AK234" s="19">
        <f t="shared" si="104"/>
        <v>89.677019071585278</v>
      </c>
      <c r="AL234" s="23">
        <f t="shared" si="95"/>
        <v>1037.2290190715853</v>
      </c>
      <c r="AM234" s="22">
        <f>(1/(2*LOG(3.7*($I234-0.008)/'Calculation Constants'!$B$5*1000)))^2</f>
        <v>1.4709705891825043E-2</v>
      </c>
      <c r="AN234" s="19">
        <f t="shared" si="105"/>
        <v>2.1543104841910781</v>
      </c>
      <c r="AO234" s="19">
        <f>IF($H234&gt;0,'Calculation Constants'!$B$9*Hydraulics!$K234^2/2/9.81/MAX($F$4:$F$263)*$H234,"")</f>
        <v>7.5705987075825154E-2</v>
      </c>
      <c r="AP234" s="19">
        <f t="shared" si="106"/>
        <v>2.2300164712669033</v>
      </c>
      <c r="AQ234" s="19">
        <f t="shared" si="96"/>
        <v>0</v>
      </c>
      <c r="AR234" s="19">
        <f t="shared" si="107"/>
        <v>51.304250203887136</v>
      </c>
      <c r="AS234" s="23">
        <f t="shared" si="97"/>
        <v>998.85625020388716</v>
      </c>
    </row>
    <row r="235" spans="5:45">
      <c r="E235" s="35" t="str">
        <f t="shared" si="83"/>
        <v/>
      </c>
      <c r="F235" s="19">
        <f>'Profile data'!A235</f>
        <v>464</v>
      </c>
      <c r="G235" s="19">
        <f>VLOOKUP(F235,'Profile data'!A235:C494,IF($B$22="Botswana 1",2,3))</f>
        <v>941.89800000000002</v>
      </c>
      <c r="H235" s="19">
        <f t="shared" si="108"/>
        <v>2</v>
      </c>
      <c r="I235" s="19">
        <v>1.8</v>
      </c>
      <c r="J235" s="36">
        <f>'Flow Rate Calculations'!$B$7</f>
        <v>4.0831050228310497</v>
      </c>
      <c r="K235" s="36">
        <f t="shared" si="98"/>
        <v>1.6045588828318709</v>
      </c>
      <c r="L235" s="37">
        <f>$I235*$K235/'Calculation Constants'!$B$7</f>
        <v>2555934.503625989</v>
      </c>
      <c r="M235" s="37" t="str">
        <f t="shared" si="84"/>
        <v>Greater Dynamic Pressures</v>
      </c>
      <c r="N235" s="23">
        <f t="shared" si="99"/>
        <v>127.98347363900405</v>
      </c>
      <c r="O235" s="57">
        <f t="shared" si="85"/>
        <v>114.90001555663605</v>
      </c>
      <c r="P235" s="66">
        <f>MAX(I235*1000/'Calculation Constants'!$B$14,O235*10*I235*1000/2/('Calculation Constants'!$B$12*1000*'Calculation Constants'!$B$13))</f>
        <v>11.25</v>
      </c>
      <c r="Q235" s="68">
        <f t="shared" si="86"/>
        <v>992548.40161508287</v>
      </c>
      <c r="R235" s="27">
        <f>(1/(2*LOG(3.7*$I235/'Calculation Constants'!$B$2*1000)))^2</f>
        <v>8.7463077071963571E-3</v>
      </c>
      <c r="S235" s="19">
        <f t="shared" si="100"/>
        <v>1.2752477269849725</v>
      </c>
      <c r="T235" s="19">
        <f>IF($H235&gt;0,'Calculation Constants'!$B$9*Hydraulics!$K235^2/2/9.81/MAX($F$4:$F$263)*$H235,"")</f>
        <v>7.5705987075825154E-2</v>
      </c>
      <c r="U235" s="19">
        <f t="shared" si="101"/>
        <v>1.3509537140607977</v>
      </c>
      <c r="V235" s="19">
        <f t="shared" si="87"/>
        <v>0</v>
      </c>
      <c r="W235" s="19">
        <f t="shared" si="88"/>
        <v>127.98347363900405</v>
      </c>
      <c r="X235" s="23">
        <f t="shared" si="89"/>
        <v>1069.8814736390041</v>
      </c>
      <c r="Y235" s="22">
        <f>(1/(2*LOG(3.7*$I235/'Calculation Constants'!$B$3*1000)))^2</f>
        <v>9.8211436332891755E-3</v>
      </c>
      <c r="Z235" s="19">
        <f t="shared" si="90"/>
        <v>1.431963236834217</v>
      </c>
      <c r="AA235" s="19">
        <f>IF($H235&gt;0,'Calculation Constants'!$B$9*Hydraulics!$K235^2/2/9.81/MAX($F$4:$F$263)*$H235,"")</f>
        <v>7.5705987075825154E-2</v>
      </c>
      <c r="AB235" s="19">
        <f t="shared" si="109"/>
        <v>1.5076692239100422</v>
      </c>
      <c r="AC235" s="19">
        <f t="shared" si="91"/>
        <v>0</v>
      </c>
      <c r="AD235" s="19">
        <f t="shared" si="102"/>
        <v>114.90001555663605</v>
      </c>
      <c r="AE235" s="23">
        <f t="shared" si="92"/>
        <v>1056.7980155566361</v>
      </c>
      <c r="AF235" s="27">
        <f>(1/(2*LOG(3.7*$I235/'Calculation Constants'!$B$4*1000)))^2</f>
        <v>1.1575055557914658E-2</v>
      </c>
      <c r="AG235" s="19">
        <f t="shared" si="93"/>
        <v>1.6876908272744866</v>
      </c>
      <c r="AH235" s="19">
        <f>IF($H235&gt;0,'Calculation Constants'!$B$9*Hydraulics!$K235^2/2/9.81/MAX($F$4:$F$263)*$H235,"")</f>
        <v>7.5705987075825154E-2</v>
      </c>
      <c r="AI235" s="19">
        <f t="shared" si="103"/>
        <v>1.7633968143503118</v>
      </c>
      <c r="AJ235" s="19">
        <f t="shared" si="94"/>
        <v>0</v>
      </c>
      <c r="AK235" s="19">
        <f t="shared" si="104"/>
        <v>93.56762225723503</v>
      </c>
      <c r="AL235" s="23">
        <f t="shared" si="95"/>
        <v>1035.4656222572351</v>
      </c>
      <c r="AM235" s="22">
        <f>(1/(2*LOG(3.7*($I235-0.008)/'Calculation Constants'!$B$5*1000)))^2</f>
        <v>1.4709705891825043E-2</v>
      </c>
      <c r="AN235" s="19">
        <f t="shared" si="105"/>
        <v>2.1543104841910781</v>
      </c>
      <c r="AO235" s="19">
        <f>IF($H235&gt;0,'Calculation Constants'!$B$9*Hydraulics!$K235^2/2/9.81/MAX($F$4:$F$263)*$H235,"")</f>
        <v>7.5705987075825154E-2</v>
      </c>
      <c r="AP235" s="19">
        <f t="shared" si="106"/>
        <v>2.2300164712669033</v>
      </c>
      <c r="AQ235" s="19">
        <f t="shared" si="96"/>
        <v>0</v>
      </c>
      <c r="AR235" s="19">
        <f t="shared" si="107"/>
        <v>54.728233732620197</v>
      </c>
      <c r="AS235" s="23">
        <f t="shared" si="97"/>
        <v>996.62623373262022</v>
      </c>
    </row>
    <row r="236" spans="5:45">
      <c r="E236" s="35" t="str">
        <f t="shared" si="83"/>
        <v/>
      </c>
      <c r="F236" s="19">
        <f>'Profile data'!A236</f>
        <v>466</v>
      </c>
      <c r="G236" s="19">
        <f>VLOOKUP(F236,'Profile data'!A236:C495,IF($B$22="Botswana 1",2,3))</f>
        <v>940.52099999999996</v>
      </c>
      <c r="H236" s="19">
        <f t="shared" si="108"/>
        <v>2</v>
      </c>
      <c r="I236" s="19">
        <v>1.8</v>
      </c>
      <c r="J236" s="36">
        <f>'Flow Rate Calculations'!$B$7</f>
        <v>4.0831050228310497</v>
      </c>
      <c r="K236" s="36">
        <f t="shared" si="98"/>
        <v>1.6045588828318709</v>
      </c>
      <c r="L236" s="37">
        <f>$I236*$K236/'Calculation Constants'!$B$7</f>
        <v>2555934.503625989</v>
      </c>
      <c r="M236" s="37" t="str">
        <f t="shared" si="84"/>
        <v>Greater Dynamic Pressures</v>
      </c>
      <c r="N236" s="23">
        <f t="shared" si="99"/>
        <v>128.00951992494333</v>
      </c>
      <c r="O236" s="57">
        <f t="shared" si="85"/>
        <v>114.76934633272617</v>
      </c>
      <c r="P236" s="66">
        <f>MAX(I236*1000/'Calculation Constants'!$B$14,O236*10*I236*1000/2/('Calculation Constants'!$B$12*1000*'Calculation Constants'!$B$13))</f>
        <v>11.25</v>
      </c>
      <c r="Q236" s="68">
        <f t="shared" si="86"/>
        <v>992548.40161508287</v>
      </c>
      <c r="R236" s="27">
        <f>(1/(2*LOG(3.7*$I236/'Calculation Constants'!$B$2*1000)))^2</f>
        <v>8.7463077071963571E-3</v>
      </c>
      <c r="S236" s="19">
        <f t="shared" si="100"/>
        <v>1.2752477269849725</v>
      </c>
      <c r="T236" s="19">
        <f>IF($H236&gt;0,'Calculation Constants'!$B$9*Hydraulics!$K236^2/2/9.81/MAX($F$4:$F$263)*$H236,"")</f>
        <v>7.5705987075825154E-2</v>
      </c>
      <c r="U236" s="19">
        <f t="shared" si="101"/>
        <v>1.3509537140607977</v>
      </c>
      <c r="V236" s="19">
        <f t="shared" si="87"/>
        <v>0</v>
      </c>
      <c r="W236" s="19">
        <f t="shared" si="88"/>
        <v>128.00951992494333</v>
      </c>
      <c r="X236" s="23">
        <f t="shared" si="89"/>
        <v>1068.5305199249433</v>
      </c>
      <c r="Y236" s="22">
        <f>(1/(2*LOG(3.7*$I236/'Calculation Constants'!$B$3*1000)))^2</f>
        <v>9.8211436332891755E-3</v>
      </c>
      <c r="Z236" s="19">
        <f t="shared" si="90"/>
        <v>1.431963236834217</v>
      </c>
      <c r="AA236" s="19">
        <f>IF($H236&gt;0,'Calculation Constants'!$B$9*Hydraulics!$K236^2/2/9.81/MAX($F$4:$F$263)*$H236,"")</f>
        <v>7.5705987075825154E-2</v>
      </c>
      <c r="AB236" s="19">
        <f t="shared" si="109"/>
        <v>1.5076692239100422</v>
      </c>
      <c r="AC236" s="19">
        <f t="shared" si="91"/>
        <v>0</v>
      </c>
      <c r="AD236" s="19">
        <f t="shared" si="102"/>
        <v>114.76934633272617</v>
      </c>
      <c r="AE236" s="23">
        <f t="shared" si="92"/>
        <v>1055.2903463327261</v>
      </c>
      <c r="AF236" s="27">
        <f>(1/(2*LOG(3.7*$I236/'Calculation Constants'!$B$4*1000)))^2</f>
        <v>1.1575055557914658E-2</v>
      </c>
      <c r="AG236" s="19">
        <f t="shared" si="93"/>
        <v>1.6876908272744866</v>
      </c>
      <c r="AH236" s="19">
        <f>IF($H236&gt;0,'Calculation Constants'!$B$9*Hydraulics!$K236^2/2/9.81/MAX($F$4:$F$263)*$H236,"")</f>
        <v>7.5705987075825154E-2</v>
      </c>
      <c r="AI236" s="19">
        <f t="shared" si="103"/>
        <v>1.7633968143503118</v>
      </c>
      <c r="AJ236" s="19">
        <f t="shared" si="94"/>
        <v>0</v>
      </c>
      <c r="AK236" s="19">
        <f t="shared" si="104"/>
        <v>93.181225442884852</v>
      </c>
      <c r="AL236" s="23">
        <f t="shared" si="95"/>
        <v>1033.7022254428848</v>
      </c>
      <c r="AM236" s="22">
        <f>(1/(2*LOG(3.7*($I236-0.008)/'Calculation Constants'!$B$5*1000)))^2</f>
        <v>1.4709705891825043E-2</v>
      </c>
      <c r="AN236" s="19">
        <f t="shared" si="105"/>
        <v>2.1543104841910781</v>
      </c>
      <c r="AO236" s="19">
        <f>IF($H236&gt;0,'Calculation Constants'!$B$9*Hydraulics!$K236^2/2/9.81/MAX($F$4:$F$263)*$H236,"")</f>
        <v>7.5705987075825154E-2</v>
      </c>
      <c r="AP236" s="19">
        <f t="shared" si="106"/>
        <v>2.2300164712669033</v>
      </c>
      <c r="AQ236" s="19">
        <f t="shared" si="96"/>
        <v>0</v>
      </c>
      <c r="AR236" s="19">
        <f t="shared" si="107"/>
        <v>53.875217261353328</v>
      </c>
      <c r="AS236" s="23">
        <f t="shared" si="97"/>
        <v>994.39621726135329</v>
      </c>
    </row>
    <row r="237" spans="5:45">
      <c r="E237" s="35" t="str">
        <f t="shared" si="83"/>
        <v/>
      </c>
      <c r="F237" s="19">
        <f>'Profile data'!A237</f>
        <v>468</v>
      </c>
      <c r="G237" s="19">
        <f>VLOOKUP(F237,'Profile data'!A237:C496,IF($B$22="Botswana 1",2,3))</f>
        <v>939.702</v>
      </c>
      <c r="H237" s="19">
        <f t="shared" si="108"/>
        <v>2</v>
      </c>
      <c r="I237" s="19">
        <v>1.8</v>
      </c>
      <c r="J237" s="36">
        <f>'Flow Rate Calculations'!$B$7</f>
        <v>4.0831050228310497</v>
      </c>
      <c r="K237" s="36">
        <f t="shared" si="98"/>
        <v>1.6045588828318709</v>
      </c>
      <c r="L237" s="37">
        <f>$I237*$K237/'Calculation Constants'!$B$7</f>
        <v>2555934.503625989</v>
      </c>
      <c r="M237" s="37" t="str">
        <f t="shared" si="84"/>
        <v>Greater Dynamic Pressures</v>
      </c>
      <c r="N237" s="23">
        <f t="shared" si="99"/>
        <v>127.47756621088251</v>
      </c>
      <c r="O237" s="57">
        <f t="shared" si="85"/>
        <v>114.08067710881619</v>
      </c>
      <c r="P237" s="66">
        <f>MAX(I237*1000/'Calculation Constants'!$B$14,O237*10*I237*1000/2/('Calculation Constants'!$B$12*1000*'Calculation Constants'!$B$13))</f>
        <v>11.25</v>
      </c>
      <c r="Q237" s="68">
        <f t="shared" si="86"/>
        <v>992548.40161508287</v>
      </c>
      <c r="R237" s="27">
        <f>(1/(2*LOG(3.7*$I237/'Calculation Constants'!$B$2*1000)))^2</f>
        <v>8.7463077071963571E-3</v>
      </c>
      <c r="S237" s="19">
        <f t="shared" si="100"/>
        <v>1.2752477269849725</v>
      </c>
      <c r="T237" s="19">
        <f>IF($H237&gt;0,'Calculation Constants'!$B$9*Hydraulics!$K237^2/2/9.81/MAX($F$4:$F$263)*$H237,"")</f>
        <v>7.5705987075825154E-2</v>
      </c>
      <c r="U237" s="19">
        <f t="shared" si="101"/>
        <v>1.3509537140607977</v>
      </c>
      <c r="V237" s="19">
        <f t="shared" si="87"/>
        <v>0</v>
      </c>
      <c r="W237" s="19">
        <f t="shared" si="88"/>
        <v>127.47756621088251</v>
      </c>
      <c r="X237" s="23">
        <f t="shared" si="89"/>
        <v>1067.1795662108825</v>
      </c>
      <c r="Y237" s="22">
        <f>(1/(2*LOG(3.7*$I237/'Calculation Constants'!$B$3*1000)))^2</f>
        <v>9.8211436332891755E-3</v>
      </c>
      <c r="Z237" s="19">
        <f t="shared" si="90"/>
        <v>1.431963236834217</v>
      </c>
      <c r="AA237" s="19">
        <f>IF($H237&gt;0,'Calculation Constants'!$B$9*Hydraulics!$K237^2/2/9.81/MAX($F$4:$F$263)*$H237,"")</f>
        <v>7.5705987075825154E-2</v>
      </c>
      <c r="AB237" s="19">
        <f t="shared" si="109"/>
        <v>1.5076692239100422</v>
      </c>
      <c r="AC237" s="19">
        <f t="shared" si="91"/>
        <v>0</v>
      </c>
      <c r="AD237" s="19">
        <f t="shared" si="102"/>
        <v>114.08067710881619</v>
      </c>
      <c r="AE237" s="23">
        <f t="shared" si="92"/>
        <v>1053.7826771088162</v>
      </c>
      <c r="AF237" s="27">
        <f>(1/(2*LOG(3.7*$I237/'Calculation Constants'!$B$4*1000)))^2</f>
        <v>1.1575055557914658E-2</v>
      </c>
      <c r="AG237" s="19">
        <f t="shared" si="93"/>
        <v>1.6876908272744866</v>
      </c>
      <c r="AH237" s="19">
        <f>IF($H237&gt;0,'Calculation Constants'!$B$9*Hydraulics!$K237^2/2/9.81/MAX($F$4:$F$263)*$H237,"")</f>
        <v>7.5705987075825154E-2</v>
      </c>
      <c r="AI237" s="19">
        <f t="shared" si="103"/>
        <v>1.7633968143503118</v>
      </c>
      <c r="AJ237" s="19">
        <f t="shared" si="94"/>
        <v>0</v>
      </c>
      <c r="AK237" s="19">
        <f t="shared" si="104"/>
        <v>92.236828628534568</v>
      </c>
      <c r="AL237" s="23">
        <f t="shared" si="95"/>
        <v>1031.9388286285346</v>
      </c>
      <c r="AM237" s="22">
        <f>(1/(2*LOG(3.7*($I237-0.008)/'Calculation Constants'!$B$5*1000)))^2</f>
        <v>1.4709705891825043E-2</v>
      </c>
      <c r="AN237" s="19">
        <f t="shared" si="105"/>
        <v>2.1543104841910781</v>
      </c>
      <c r="AO237" s="19">
        <f>IF($H237&gt;0,'Calculation Constants'!$B$9*Hydraulics!$K237^2/2/9.81/MAX($F$4:$F$263)*$H237,"")</f>
        <v>7.5705987075825154E-2</v>
      </c>
      <c r="AP237" s="19">
        <f t="shared" si="106"/>
        <v>2.2300164712669033</v>
      </c>
      <c r="AQ237" s="19">
        <f t="shared" si="96"/>
        <v>0</v>
      </c>
      <c r="AR237" s="19">
        <f t="shared" si="107"/>
        <v>52.464200790086352</v>
      </c>
      <c r="AS237" s="23">
        <f t="shared" si="97"/>
        <v>992.16620079008635</v>
      </c>
    </row>
    <row r="238" spans="5:45">
      <c r="E238" s="35" t="str">
        <f t="shared" si="83"/>
        <v/>
      </c>
      <c r="F238" s="19">
        <f>'Profile data'!A238</f>
        <v>470</v>
      </c>
      <c r="G238" s="19">
        <f>VLOOKUP(F238,'Profile data'!A238:C497,IF($B$22="Botswana 1",2,3))</f>
        <v>937.14700000000005</v>
      </c>
      <c r="H238" s="19">
        <f t="shared" si="108"/>
        <v>2</v>
      </c>
      <c r="I238" s="19">
        <v>1.8</v>
      </c>
      <c r="J238" s="36">
        <f>'Flow Rate Calculations'!$B$7</f>
        <v>4.0831050228310497</v>
      </c>
      <c r="K238" s="36">
        <f t="shared" si="98"/>
        <v>1.6045588828318709</v>
      </c>
      <c r="L238" s="37">
        <f>$I238*$K238/'Calculation Constants'!$B$7</f>
        <v>2555934.503625989</v>
      </c>
      <c r="M238" s="37" t="str">
        <f t="shared" si="84"/>
        <v>Greater Dynamic Pressures</v>
      </c>
      <c r="N238" s="23">
        <f t="shared" si="99"/>
        <v>128.68161249682169</v>
      </c>
      <c r="O238" s="57">
        <f t="shared" si="85"/>
        <v>115.1280078849062</v>
      </c>
      <c r="P238" s="66">
        <f>MAX(I238*1000/'Calculation Constants'!$B$14,O238*10*I238*1000/2/('Calculation Constants'!$B$12*1000*'Calculation Constants'!$B$13))</f>
        <v>11.25</v>
      </c>
      <c r="Q238" s="68">
        <f t="shared" si="86"/>
        <v>992548.40161508287</v>
      </c>
      <c r="R238" s="27">
        <f>(1/(2*LOG(3.7*$I238/'Calculation Constants'!$B$2*1000)))^2</f>
        <v>8.7463077071963571E-3</v>
      </c>
      <c r="S238" s="19">
        <f t="shared" si="100"/>
        <v>1.2752477269849725</v>
      </c>
      <c r="T238" s="19">
        <f>IF($H238&gt;0,'Calculation Constants'!$B$9*Hydraulics!$K238^2/2/9.81/MAX($F$4:$F$263)*$H238,"")</f>
        <v>7.5705987075825154E-2</v>
      </c>
      <c r="U238" s="19">
        <f t="shared" si="101"/>
        <v>1.3509537140607977</v>
      </c>
      <c r="V238" s="19">
        <f t="shared" si="87"/>
        <v>0</v>
      </c>
      <c r="W238" s="19">
        <f t="shared" si="88"/>
        <v>128.68161249682169</v>
      </c>
      <c r="X238" s="23">
        <f t="shared" si="89"/>
        <v>1065.8286124968217</v>
      </c>
      <c r="Y238" s="22">
        <f>(1/(2*LOG(3.7*$I238/'Calculation Constants'!$B$3*1000)))^2</f>
        <v>9.8211436332891755E-3</v>
      </c>
      <c r="Z238" s="19">
        <f t="shared" si="90"/>
        <v>1.431963236834217</v>
      </c>
      <c r="AA238" s="19">
        <f>IF($H238&gt;0,'Calculation Constants'!$B$9*Hydraulics!$K238^2/2/9.81/MAX($F$4:$F$263)*$H238,"")</f>
        <v>7.5705987075825154E-2</v>
      </c>
      <c r="AB238" s="19">
        <f t="shared" si="109"/>
        <v>1.5076692239100422</v>
      </c>
      <c r="AC238" s="19">
        <f t="shared" si="91"/>
        <v>0</v>
      </c>
      <c r="AD238" s="19">
        <f t="shared" si="102"/>
        <v>115.1280078849062</v>
      </c>
      <c r="AE238" s="23">
        <f t="shared" si="92"/>
        <v>1052.2750078849062</v>
      </c>
      <c r="AF238" s="27">
        <f>(1/(2*LOG(3.7*$I238/'Calculation Constants'!$B$4*1000)))^2</f>
        <v>1.1575055557914658E-2</v>
      </c>
      <c r="AG238" s="19">
        <f t="shared" si="93"/>
        <v>1.6876908272744866</v>
      </c>
      <c r="AH238" s="19">
        <f>IF($H238&gt;0,'Calculation Constants'!$B$9*Hydraulics!$K238^2/2/9.81/MAX($F$4:$F$263)*$H238,"")</f>
        <v>7.5705987075825154E-2</v>
      </c>
      <c r="AI238" s="19">
        <f t="shared" si="103"/>
        <v>1.7633968143503118</v>
      </c>
      <c r="AJ238" s="19">
        <f t="shared" si="94"/>
        <v>0</v>
      </c>
      <c r="AK238" s="19">
        <f t="shared" si="104"/>
        <v>93.028431814184273</v>
      </c>
      <c r="AL238" s="23">
        <f t="shared" si="95"/>
        <v>1030.1754318141843</v>
      </c>
      <c r="AM238" s="22">
        <f>(1/(2*LOG(3.7*($I238-0.008)/'Calculation Constants'!$B$5*1000)))^2</f>
        <v>1.4709705891825043E-2</v>
      </c>
      <c r="AN238" s="19">
        <f t="shared" si="105"/>
        <v>2.1543104841910781</v>
      </c>
      <c r="AO238" s="19">
        <f>IF($H238&gt;0,'Calculation Constants'!$B$9*Hydraulics!$K238^2/2/9.81/MAX($F$4:$F$263)*$H238,"")</f>
        <v>7.5705987075825154E-2</v>
      </c>
      <c r="AP238" s="19">
        <f t="shared" si="106"/>
        <v>2.2300164712669033</v>
      </c>
      <c r="AQ238" s="19">
        <f t="shared" si="96"/>
        <v>0</v>
      </c>
      <c r="AR238" s="19">
        <f t="shared" si="107"/>
        <v>52.789184318819366</v>
      </c>
      <c r="AS238" s="23">
        <f t="shared" si="97"/>
        <v>989.93618431881941</v>
      </c>
    </row>
    <row r="239" spans="5:45">
      <c r="E239" s="35" t="str">
        <f t="shared" si="83"/>
        <v/>
      </c>
      <c r="F239" s="19">
        <f>'Profile data'!A239</f>
        <v>472</v>
      </c>
      <c r="G239" s="19">
        <f>VLOOKUP(F239,'Profile data'!A239:C498,IF($B$22="Botswana 1",2,3))</f>
        <v>933.87199999999996</v>
      </c>
      <c r="H239" s="19">
        <f t="shared" si="108"/>
        <v>2</v>
      </c>
      <c r="I239" s="19">
        <v>1.8</v>
      </c>
      <c r="J239" s="36">
        <f>'Flow Rate Calculations'!$B$7</f>
        <v>4.0831050228310497</v>
      </c>
      <c r="K239" s="36">
        <f t="shared" si="98"/>
        <v>1.6045588828318709</v>
      </c>
      <c r="L239" s="37">
        <f>$I239*$K239/'Calculation Constants'!$B$7</f>
        <v>2555934.503625989</v>
      </c>
      <c r="M239" s="37" t="str">
        <f t="shared" si="84"/>
        <v>Greater Dynamic Pressures</v>
      </c>
      <c r="N239" s="23">
        <f t="shared" si="99"/>
        <v>130.605658782761</v>
      </c>
      <c r="O239" s="57">
        <f t="shared" si="85"/>
        <v>116.89533866099634</v>
      </c>
      <c r="P239" s="66">
        <f>MAX(I239*1000/'Calculation Constants'!$B$14,O239*10*I239*1000/2/('Calculation Constants'!$B$12*1000*'Calculation Constants'!$B$13))</f>
        <v>11.25</v>
      </c>
      <c r="Q239" s="68">
        <f t="shared" si="86"/>
        <v>992548.40161508287</v>
      </c>
      <c r="R239" s="27">
        <f>(1/(2*LOG(3.7*$I239/'Calculation Constants'!$B$2*1000)))^2</f>
        <v>8.7463077071963571E-3</v>
      </c>
      <c r="S239" s="19">
        <f t="shared" si="100"/>
        <v>1.2752477269849725</v>
      </c>
      <c r="T239" s="19">
        <f>IF($H239&gt;0,'Calculation Constants'!$B$9*Hydraulics!$K239^2/2/9.81/MAX($F$4:$F$263)*$H239,"")</f>
        <v>7.5705987075825154E-2</v>
      </c>
      <c r="U239" s="19">
        <f t="shared" si="101"/>
        <v>1.3509537140607977</v>
      </c>
      <c r="V239" s="19">
        <f t="shared" si="87"/>
        <v>0</v>
      </c>
      <c r="W239" s="19">
        <f t="shared" si="88"/>
        <v>130.605658782761</v>
      </c>
      <c r="X239" s="23">
        <f t="shared" si="89"/>
        <v>1064.477658782761</v>
      </c>
      <c r="Y239" s="22">
        <f>(1/(2*LOG(3.7*$I239/'Calculation Constants'!$B$3*1000)))^2</f>
        <v>9.8211436332891755E-3</v>
      </c>
      <c r="Z239" s="19">
        <f t="shared" si="90"/>
        <v>1.431963236834217</v>
      </c>
      <c r="AA239" s="19">
        <f>IF($H239&gt;0,'Calculation Constants'!$B$9*Hydraulics!$K239^2/2/9.81/MAX($F$4:$F$263)*$H239,"")</f>
        <v>7.5705987075825154E-2</v>
      </c>
      <c r="AB239" s="19">
        <f t="shared" si="109"/>
        <v>1.5076692239100422</v>
      </c>
      <c r="AC239" s="19">
        <f t="shared" si="91"/>
        <v>0</v>
      </c>
      <c r="AD239" s="19">
        <f t="shared" si="102"/>
        <v>116.89533866099634</v>
      </c>
      <c r="AE239" s="23">
        <f t="shared" si="92"/>
        <v>1050.7673386609963</v>
      </c>
      <c r="AF239" s="27">
        <f>(1/(2*LOG(3.7*$I239/'Calculation Constants'!$B$4*1000)))^2</f>
        <v>1.1575055557914658E-2</v>
      </c>
      <c r="AG239" s="19">
        <f t="shared" si="93"/>
        <v>1.6876908272744866</v>
      </c>
      <c r="AH239" s="19">
        <f>IF($H239&gt;0,'Calculation Constants'!$B$9*Hydraulics!$K239^2/2/9.81/MAX($F$4:$F$263)*$H239,"")</f>
        <v>7.5705987075825154E-2</v>
      </c>
      <c r="AI239" s="19">
        <f t="shared" si="103"/>
        <v>1.7633968143503118</v>
      </c>
      <c r="AJ239" s="19">
        <f t="shared" si="94"/>
        <v>0</v>
      </c>
      <c r="AK239" s="19">
        <f t="shared" si="104"/>
        <v>94.54003499983412</v>
      </c>
      <c r="AL239" s="23">
        <f t="shared" si="95"/>
        <v>1028.4120349998341</v>
      </c>
      <c r="AM239" s="22">
        <f>(1/(2*LOG(3.7*($I239-0.008)/'Calculation Constants'!$B$5*1000)))^2</f>
        <v>1.4709705891825043E-2</v>
      </c>
      <c r="AN239" s="19">
        <f t="shared" si="105"/>
        <v>2.1543104841910781</v>
      </c>
      <c r="AO239" s="19">
        <f>IF($H239&gt;0,'Calculation Constants'!$B$9*Hydraulics!$K239^2/2/9.81/MAX($F$4:$F$263)*$H239,"")</f>
        <v>7.5705987075825154E-2</v>
      </c>
      <c r="AP239" s="19">
        <f t="shared" si="106"/>
        <v>2.2300164712669033</v>
      </c>
      <c r="AQ239" s="19">
        <f t="shared" si="96"/>
        <v>0</v>
      </c>
      <c r="AR239" s="19">
        <f t="shared" si="107"/>
        <v>53.834167847552521</v>
      </c>
      <c r="AS239" s="23">
        <f t="shared" si="97"/>
        <v>987.70616784755248</v>
      </c>
    </row>
    <row r="240" spans="5:45">
      <c r="E240" s="35" t="str">
        <f t="shared" si="83"/>
        <v/>
      </c>
      <c r="F240" s="19">
        <f>'Profile data'!A240</f>
        <v>474</v>
      </c>
      <c r="G240" s="19">
        <f>VLOOKUP(F240,'Profile data'!A240:C499,IF($B$22="Botswana 1",2,3))</f>
        <v>933.18399999999997</v>
      </c>
      <c r="H240" s="19">
        <f t="shared" si="108"/>
        <v>2</v>
      </c>
      <c r="I240" s="19">
        <v>1.8</v>
      </c>
      <c r="J240" s="36">
        <f>'Flow Rate Calculations'!$B$7</f>
        <v>4.0831050228310497</v>
      </c>
      <c r="K240" s="36">
        <f t="shared" si="98"/>
        <v>1.6045588828318709</v>
      </c>
      <c r="L240" s="37">
        <f>$I240*$K240/'Calculation Constants'!$B$7</f>
        <v>2555934.503625989</v>
      </c>
      <c r="M240" s="37" t="str">
        <f t="shared" si="84"/>
        <v>Greater Dynamic Pressures</v>
      </c>
      <c r="N240" s="23">
        <f t="shared" si="99"/>
        <v>129.94270506870021</v>
      </c>
      <c r="O240" s="57">
        <f t="shared" si="85"/>
        <v>116.07566943708639</v>
      </c>
      <c r="P240" s="66">
        <f>MAX(I240*1000/'Calculation Constants'!$B$14,O240*10*I240*1000/2/('Calculation Constants'!$B$12*1000*'Calculation Constants'!$B$13))</f>
        <v>11.25</v>
      </c>
      <c r="Q240" s="68">
        <f t="shared" si="86"/>
        <v>992548.40161508287</v>
      </c>
      <c r="R240" s="27">
        <f>(1/(2*LOG(3.7*$I240/'Calculation Constants'!$B$2*1000)))^2</f>
        <v>8.7463077071963571E-3</v>
      </c>
      <c r="S240" s="19">
        <f t="shared" si="100"/>
        <v>1.2752477269849725</v>
      </c>
      <c r="T240" s="19">
        <f>IF($H240&gt;0,'Calculation Constants'!$B$9*Hydraulics!$K240^2/2/9.81/MAX($F$4:$F$263)*$H240,"")</f>
        <v>7.5705987075825154E-2</v>
      </c>
      <c r="U240" s="19">
        <f t="shared" si="101"/>
        <v>1.3509537140607977</v>
      </c>
      <c r="V240" s="19">
        <f t="shared" si="87"/>
        <v>0</v>
      </c>
      <c r="W240" s="19">
        <f t="shared" si="88"/>
        <v>129.94270506870021</v>
      </c>
      <c r="X240" s="23">
        <f t="shared" si="89"/>
        <v>1063.1267050687002</v>
      </c>
      <c r="Y240" s="22">
        <f>(1/(2*LOG(3.7*$I240/'Calculation Constants'!$B$3*1000)))^2</f>
        <v>9.8211436332891755E-3</v>
      </c>
      <c r="Z240" s="19">
        <f t="shared" si="90"/>
        <v>1.431963236834217</v>
      </c>
      <c r="AA240" s="19">
        <f>IF($H240&gt;0,'Calculation Constants'!$B$9*Hydraulics!$K240^2/2/9.81/MAX($F$4:$F$263)*$H240,"")</f>
        <v>7.5705987075825154E-2</v>
      </c>
      <c r="AB240" s="19">
        <f t="shared" si="109"/>
        <v>1.5076692239100422</v>
      </c>
      <c r="AC240" s="19">
        <f t="shared" si="91"/>
        <v>0</v>
      </c>
      <c r="AD240" s="19">
        <f t="shared" si="102"/>
        <v>116.07566943708639</v>
      </c>
      <c r="AE240" s="23">
        <f t="shared" si="92"/>
        <v>1049.2596694370864</v>
      </c>
      <c r="AF240" s="27">
        <f>(1/(2*LOG(3.7*$I240/'Calculation Constants'!$B$4*1000)))^2</f>
        <v>1.1575055557914658E-2</v>
      </c>
      <c r="AG240" s="19">
        <f t="shared" si="93"/>
        <v>1.6876908272744866</v>
      </c>
      <c r="AH240" s="19">
        <f>IF($H240&gt;0,'Calculation Constants'!$B$9*Hydraulics!$K240^2/2/9.81/MAX($F$4:$F$263)*$H240,"")</f>
        <v>7.5705987075825154E-2</v>
      </c>
      <c r="AI240" s="19">
        <f t="shared" si="103"/>
        <v>1.7633968143503118</v>
      </c>
      <c r="AJ240" s="19">
        <f t="shared" si="94"/>
        <v>0</v>
      </c>
      <c r="AK240" s="19">
        <f t="shared" si="104"/>
        <v>93.464638185483864</v>
      </c>
      <c r="AL240" s="23">
        <f t="shared" si="95"/>
        <v>1026.6486381854838</v>
      </c>
      <c r="AM240" s="22">
        <f>(1/(2*LOG(3.7*($I240-0.008)/'Calculation Constants'!$B$5*1000)))^2</f>
        <v>1.4709705891825043E-2</v>
      </c>
      <c r="AN240" s="19">
        <f t="shared" si="105"/>
        <v>2.1543104841910781</v>
      </c>
      <c r="AO240" s="19">
        <f>IF($H240&gt;0,'Calculation Constants'!$B$9*Hydraulics!$K240^2/2/9.81/MAX($F$4:$F$263)*$H240,"")</f>
        <v>7.5705987075825154E-2</v>
      </c>
      <c r="AP240" s="19">
        <f t="shared" si="106"/>
        <v>2.2300164712669033</v>
      </c>
      <c r="AQ240" s="19">
        <f t="shared" si="96"/>
        <v>0</v>
      </c>
      <c r="AR240" s="19">
        <f t="shared" si="107"/>
        <v>52.292151376285574</v>
      </c>
      <c r="AS240" s="23">
        <f t="shared" si="97"/>
        <v>985.47615137628554</v>
      </c>
    </row>
    <row r="241" spans="5:45">
      <c r="E241" s="35" t="str">
        <f t="shared" si="83"/>
        <v/>
      </c>
      <c r="F241" s="19">
        <f>'Profile data'!A241</f>
        <v>476</v>
      </c>
      <c r="G241" s="19">
        <f>VLOOKUP(F241,'Profile data'!A241:C500,IF($B$22="Botswana 1",2,3))</f>
        <v>939.29200000000003</v>
      </c>
      <c r="H241" s="19">
        <f t="shared" si="108"/>
        <v>2</v>
      </c>
      <c r="I241" s="19">
        <v>1.8</v>
      </c>
      <c r="J241" s="36">
        <f>'Flow Rate Calculations'!$B$7</f>
        <v>4.0831050228310497</v>
      </c>
      <c r="K241" s="36">
        <f t="shared" si="98"/>
        <v>1.6045588828318709</v>
      </c>
      <c r="L241" s="37">
        <f>$I241*$K241/'Calculation Constants'!$B$7</f>
        <v>2555934.503625989</v>
      </c>
      <c r="M241" s="37" t="str">
        <f t="shared" si="84"/>
        <v>Greater Dynamic Pressures</v>
      </c>
      <c r="N241" s="23">
        <f t="shared" si="99"/>
        <v>122.48375135463937</v>
      </c>
      <c r="O241" s="57">
        <f t="shared" si="85"/>
        <v>108.46000021317639</v>
      </c>
      <c r="P241" s="66">
        <f>MAX(I241*1000/'Calculation Constants'!$B$14,O241*10*I241*1000/2/('Calculation Constants'!$B$12*1000*'Calculation Constants'!$B$13))</f>
        <v>11.25</v>
      </c>
      <c r="Q241" s="68">
        <f t="shared" si="86"/>
        <v>992548.40161508287</v>
      </c>
      <c r="R241" s="27">
        <f>(1/(2*LOG(3.7*$I241/'Calculation Constants'!$B$2*1000)))^2</f>
        <v>8.7463077071963571E-3</v>
      </c>
      <c r="S241" s="19">
        <f t="shared" si="100"/>
        <v>1.2752477269849725</v>
      </c>
      <c r="T241" s="19">
        <f>IF($H241&gt;0,'Calculation Constants'!$B$9*Hydraulics!$K241^2/2/9.81/MAX($F$4:$F$263)*$H241,"")</f>
        <v>7.5705987075825154E-2</v>
      </c>
      <c r="U241" s="19">
        <f t="shared" si="101"/>
        <v>1.3509537140607977</v>
      </c>
      <c r="V241" s="19">
        <f t="shared" si="87"/>
        <v>0</v>
      </c>
      <c r="W241" s="19">
        <f t="shared" si="88"/>
        <v>122.48375135463937</v>
      </c>
      <c r="X241" s="23">
        <f t="shared" si="89"/>
        <v>1061.7757513546394</v>
      </c>
      <c r="Y241" s="22">
        <f>(1/(2*LOG(3.7*$I241/'Calculation Constants'!$B$3*1000)))^2</f>
        <v>9.8211436332891755E-3</v>
      </c>
      <c r="Z241" s="19">
        <f t="shared" si="90"/>
        <v>1.431963236834217</v>
      </c>
      <c r="AA241" s="19">
        <f>IF($H241&gt;0,'Calculation Constants'!$B$9*Hydraulics!$K241^2/2/9.81/MAX($F$4:$F$263)*$H241,"")</f>
        <v>7.5705987075825154E-2</v>
      </c>
      <c r="AB241" s="19">
        <f t="shared" si="109"/>
        <v>1.5076692239100422</v>
      </c>
      <c r="AC241" s="19">
        <f t="shared" si="91"/>
        <v>0</v>
      </c>
      <c r="AD241" s="19">
        <f t="shared" si="102"/>
        <v>108.46000021317639</v>
      </c>
      <c r="AE241" s="23">
        <f t="shared" si="92"/>
        <v>1047.7520002131764</v>
      </c>
      <c r="AF241" s="27">
        <f>(1/(2*LOG(3.7*$I241/'Calculation Constants'!$B$4*1000)))^2</f>
        <v>1.1575055557914658E-2</v>
      </c>
      <c r="AG241" s="19">
        <f t="shared" si="93"/>
        <v>1.6876908272744866</v>
      </c>
      <c r="AH241" s="19">
        <f>IF($H241&gt;0,'Calculation Constants'!$B$9*Hydraulics!$K241^2/2/9.81/MAX($F$4:$F$263)*$H241,"")</f>
        <v>7.5705987075825154E-2</v>
      </c>
      <c r="AI241" s="19">
        <f t="shared" si="103"/>
        <v>1.7633968143503118</v>
      </c>
      <c r="AJ241" s="19">
        <f t="shared" si="94"/>
        <v>0</v>
      </c>
      <c r="AK241" s="19">
        <f t="shared" si="104"/>
        <v>85.593241371133558</v>
      </c>
      <c r="AL241" s="23">
        <f t="shared" si="95"/>
        <v>1024.8852413711336</v>
      </c>
      <c r="AM241" s="22">
        <f>(1/(2*LOG(3.7*($I241-0.008)/'Calculation Constants'!$B$5*1000)))^2</f>
        <v>1.4709705891825043E-2</v>
      </c>
      <c r="AN241" s="19">
        <f t="shared" si="105"/>
        <v>2.1543104841910781</v>
      </c>
      <c r="AO241" s="19">
        <f>IF($H241&gt;0,'Calculation Constants'!$B$9*Hydraulics!$K241^2/2/9.81/MAX($F$4:$F$263)*$H241,"")</f>
        <v>7.5705987075825154E-2</v>
      </c>
      <c r="AP241" s="19">
        <f t="shared" si="106"/>
        <v>2.2300164712669033</v>
      </c>
      <c r="AQ241" s="19">
        <f t="shared" si="96"/>
        <v>0</v>
      </c>
      <c r="AR241" s="19">
        <f t="shared" si="107"/>
        <v>43.954134905018577</v>
      </c>
      <c r="AS241" s="23">
        <f t="shared" si="97"/>
        <v>983.24613490501861</v>
      </c>
    </row>
    <row r="242" spans="5:45">
      <c r="E242" s="35" t="str">
        <f t="shared" si="83"/>
        <v/>
      </c>
      <c r="F242" s="19">
        <f>'Profile data'!A242</f>
        <v>478</v>
      </c>
      <c r="G242" s="19">
        <f>VLOOKUP(F242,'Profile data'!A242:C501,IF($B$22="Botswana 1",2,3))</f>
        <v>944.61900000000003</v>
      </c>
      <c r="H242" s="19">
        <f t="shared" si="108"/>
        <v>2</v>
      </c>
      <c r="I242" s="19">
        <v>1.8</v>
      </c>
      <c r="J242" s="36">
        <f>'Flow Rate Calculations'!$B$7</f>
        <v>4.0831050228310497</v>
      </c>
      <c r="K242" s="36">
        <f t="shared" si="98"/>
        <v>1.6045588828318709</v>
      </c>
      <c r="L242" s="37">
        <f>$I242*$K242/'Calculation Constants'!$B$7</f>
        <v>2555934.503625989</v>
      </c>
      <c r="M242" s="37" t="str">
        <f t="shared" si="84"/>
        <v>Greater Dynamic Pressures</v>
      </c>
      <c r="N242" s="23">
        <f t="shared" si="99"/>
        <v>115.80579764057859</v>
      </c>
      <c r="O242" s="57">
        <f t="shared" si="85"/>
        <v>101.62533098926644</v>
      </c>
      <c r="P242" s="66">
        <f>MAX(I242*1000/'Calculation Constants'!$B$14,O242*10*I242*1000/2/('Calculation Constants'!$B$12*1000*'Calculation Constants'!$B$13))</f>
        <v>11.25</v>
      </c>
      <c r="Q242" s="68">
        <f t="shared" si="86"/>
        <v>992548.40161508287</v>
      </c>
      <c r="R242" s="27">
        <f>(1/(2*LOG(3.7*$I242/'Calculation Constants'!$B$2*1000)))^2</f>
        <v>8.7463077071963571E-3</v>
      </c>
      <c r="S242" s="19">
        <f t="shared" si="100"/>
        <v>1.2752477269849725</v>
      </c>
      <c r="T242" s="19">
        <f>IF($H242&gt;0,'Calculation Constants'!$B$9*Hydraulics!$K242^2/2/9.81/MAX($F$4:$F$263)*$H242,"")</f>
        <v>7.5705987075825154E-2</v>
      </c>
      <c r="U242" s="19">
        <f t="shared" si="101"/>
        <v>1.3509537140607977</v>
      </c>
      <c r="V242" s="19">
        <f t="shared" si="87"/>
        <v>0</v>
      </c>
      <c r="W242" s="19">
        <f t="shared" si="88"/>
        <v>115.80579764057859</v>
      </c>
      <c r="X242" s="23">
        <f t="shared" si="89"/>
        <v>1060.4247976405786</v>
      </c>
      <c r="Y242" s="22">
        <f>(1/(2*LOG(3.7*$I242/'Calculation Constants'!$B$3*1000)))^2</f>
        <v>9.8211436332891755E-3</v>
      </c>
      <c r="Z242" s="19">
        <f t="shared" si="90"/>
        <v>1.431963236834217</v>
      </c>
      <c r="AA242" s="19">
        <f>IF($H242&gt;0,'Calculation Constants'!$B$9*Hydraulics!$K242^2/2/9.81/MAX($F$4:$F$263)*$H242,"")</f>
        <v>7.5705987075825154E-2</v>
      </c>
      <c r="AB242" s="19">
        <f t="shared" si="109"/>
        <v>1.5076692239100422</v>
      </c>
      <c r="AC242" s="19">
        <f t="shared" si="91"/>
        <v>0</v>
      </c>
      <c r="AD242" s="19">
        <f t="shared" si="102"/>
        <v>101.62533098926644</v>
      </c>
      <c r="AE242" s="23">
        <f t="shared" si="92"/>
        <v>1046.2443309892665</v>
      </c>
      <c r="AF242" s="27">
        <f>(1/(2*LOG(3.7*$I242/'Calculation Constants'!$B$4*1000)))^2</f>
        <v>1.1575055557914658E-2</v>
      </c>
      <c r="AG242" s="19">
        <f t="shared" si="93"/>
        <v>1.6876908272744866</v>
      </c>
      <c r="AH242" s="19">
        <f>IF($H242&gt;0,'Calculation Constants'!$B$9*Hydraulics!$K242^2/2/9.81/MAX($F$4:$F$263)*$H242,"")</f>
        <v>7.5705987075825154E-2</v>
      </c>
      <c r="AI242" s="19">
        <f t="shared" si="103"/>
        <v>1.7633968143503118</v>
      </c>
      <c r="AJ242" s="19">
        <f t="shared" si="94"/>
        <v>0</v>
      </c>
      <c r="AK242" s="19">
        <f t="shared" si="104"/>
        <v>78.502844556783202</v>
      </c>
      <c r="AL242" s="23">
        <f t="shared" si="95"/>
        <v>1023.1218445567832</v>
      </c>
      <c r="AM242" s="22">
        <f>(1/(2*LOG(3.7*($I242-0.008)/'Calculation Constants'!$B$5*1000)))^2</f>
        <v>1.4709705891825043E-2</v>
      </c>
      <c r="AN242" s="19">
        <f t="shared" si="105"/>
        <v>2.1543104841910781</v>
      </c>
      <c r="AO242" s="19">
        <f>IF($H242&gt;0,'Calculation Constants'!$B$9*Hydraulics!$K242^2/2/9.81/MAX($F$4:$F$263)*$H242,"")</f>
        <v>7.5705987075825154E-2</v>
      </c>
      <c r="AP242" s="19">
        <f t="shared" si="106"/>
        <v>2.2300164712669033</v>
      </c>
      <c r="AQ242" s="19">
        <f t="shared" si="96"/>
        <v>0</v>
      </c>
      <c r="AR242" s="19">
        <f t="shared" si="107"/>
        <v>36.397118433751643</v>
      </c>
      <c r="AS242" s="23">
        <f t="shared" si="97"/>
        <v>981.01611843375167</v>
      </c>
    </row>
    <row r="243" spans="5:45">
      <c r="E243" s="35" t="str">
        <f t="shared" si="83"/>
        <v/>
      </c>
      <c r="F243" s="19">
        <f>'Profile data'!A243</f>
        <v>480</v>
      </c>
      <c r="G243" s="19">
        <f>VLOOKUP(F243,'Profile data'!A243:C502,IF($B$22="Botswana 1",2,3))</f>
        <v>954.02300000000002</v>
      </c>
      <c r="H243" s="19">
        <f t="shared" si="108"/>
        <v>2</v>
      </c>
      <c r="I243" s="19">
        <v>1.8</v>
      </c>
      <c r="J243" s="36">
        <f>'Flow Rate Calculations'!$B$7</f>
        <v>4.0831050228310497</v>
      </c>
      <c r="K243" s="36">
        <f t="shared" si="98"/>
        <v>1.6045588828318709</v>
      </c>
      <c r="L243" s="37">
        <f>$I243*$K243/'Calculation Constants'!$B$7</f>
        <v>2555934.503625989</v>
      </c>
      <c r="M243" s="37" t="str">
        <f t="shared" si="84"/>
        <v>Greater Dynamic Pressures</v>
      </c>
      <c r="N243" s="23">
        <f t="shared" si="99"/>
        <v>105.05084392651781</v>
      </c>
      <c r="O243" s="57">
        <f t="shared" si="85"/>
        <v>90.713661765356505</v>
      </c>
      <c r="P243" s="66">
        <f>MAX(I243*1000/'Calculation Constants'!$B$14,O243*10*I243*1000/2/('Calculation Constants'!$B$12*1000*'Calculation Constants'!$B$13))</f>
        <v>11.25</v>
      </c>
      <c r="Q243" s="68">
        <f t="shared" si="86"/>
        <v>992548.40161508287</v>
      </c>
      <c r="R243" s="27">
        <f>(1/(2*LOG(3.7*$I243/'Calculation Constants'!$B$2*1000)))^2</f>
        <v>8.7463077071963571E-3</v>
      </c>
      <c r="S243" s="19">
        <f t="shared" si="100"/>
        <v>1.2752477269849725</v>
      </c>
      <c r="T243" s="19">
        <f>IF($H243&gt;0,'Calculation Constants'!$B$9*Hydraulics!$K243^2/2/9.81/MAX($F$4:$F$263)*$H243,"")</f>
        <v>7.5705987075825154E-2</v>
      </c>
      <c r="U243" s="19">
        <f t="shared" si="101"/>
        <v>1.3509537140607977</v>
      </c>
      <c r="V243" s="19">
        <f t="shared" si="87"/>
        <v>0</v>
      </c>
      <c r="W243" s="19">
        <f t="shared" si="88"/>
        <v>105.05084392651781</v>
      </c>
      <c r="X243" s="23">
        <f t="shared" si="89"/>
        <v>1059.0738439265178</v>
      </c>
      <c r="Y243" s="22">
        <f>(1/(2*LOG(3.7*$I243/'Calculation Constants'!$B$3*1000)))^2</f>
        <v>9.8211436332891755E-3</v>
      </c>
      <c r="Z243" s="19">
        <f t="shared" si="90"/>
        <v>1.431963236834217</v>
      </c>
      <c r="AA243" s="19">
        <f>IF($H243&gt;0,'Calculation Constants'!$B$9*Hydraulics!$K243^2/2/9.81/MAX($F$4:$F$263)*$H243,"")</f>
        <v>7.5705987075825154E-2</v>
      </c>
      <c r="AB243" s="19">
        <f t="shared" si="109"/>
        <v>1.5076692239100422</v>
      </c>
      <c r="AC243" s="19">
        <f t="shared" si="91"/>
        <v>0</v>
      </c>
      <c r="AD243" s="19">
        <f t="shared" si="102"/>
        <v>90.713661765356505</v>
      </c>
      <c r="AE243" s="23">
        <f t="shared" si="92"/>
        <v>1044.7366617653565</v>
      </c>
      <c r="AF243" s="27">
        <f>(1/(2*LOG(3.7*$I243/'Calculation Constants'!$B$4*1000)))^2</f>
        <v>1.1575055557914658E-2</v>
      </c>
      <c r="AG243" s="19">
        <f t="shared" si="93"/>
        <v>1.6876908272744866</v>
      </c>
      <c r="AH243" s="19">
        <f>IF($H243&gt;0,'Calculation Constants'!$B$9*Hydraulics!$K243^2/2/9.81/MAX($F$4:$F$263)*$H243,"")</f>
        <v>7.5705987075825154E-2</v>
      </c>
      <c r="AI243" s="19">
        <f t="shared" si="103"/>
        <v>1.7633968143503118</v>
      </c>
      <c r="AJ243" s="19">
        <f t="shared" si="94"/>
        <v>0</v>
      </c>
      <c r="AK243" s="19">
        <f t="shared" si="104"/>
        <v>67.335447742432848</v>
      </c>
      <c r="AL243" s="23">
        <f t="shared" si="95"/>
        <v>1021.3584477424329</v>
      </c>
      <c r="AM243" s="22">
        <f>(1/(2*LOG(3.7*($I243-0.008)/'Calculation Constants'!$B$5*1000)))^2</f>
        <v>1.4709705891825043E-2</v>
      </c>
      <c r="AN243" s="19">
        <f t="shared" si="105"/>
        <v>2.1543104841910781</v>
      </c>
      <c r="AO243" s="19">
        <f>IF($H243&gt;0,'Calculation Constants'!$B$9*Hydraulics!$K243^2/2/9.81/MAX($F$4:$F$263)*$H243,"")</f>
        <v>7.5705987075825154E-2</v>
      </c>
      <c r="AP243" s="19">
        <f t="shared" si="106"/>
        <v>2.2300164712669033</v>
      </c>
      <c r="AQ243" s="19">
        <f t="shared" si="96"/>
        <v>0</v>
      </c>
      <c r="AR243" s="19">
        <f t="shared" si="107"/>
        <v>24.763101962484711</v>
      </c>
      <c r="AS243" s="23">
        <f t="shared" si="97"/>
        <v>978.78610196248474</v>
      </c>
    </row>
    <row r="244" spans="5:45">
      <c r="E244" s="35" t="str">
        <f t="shared" si="83"/>
        <v/>
      </c>
      <c r="F244" s="19">
        <f>'Profile data'!A244</f>
        <v>482</v>
      </c>
      <c r="G244" s="19">
        <f>VLOOKUP(F244,'Profile data'!A244:C503,IF($B$22="Botswana 1",2,3))</f>
        <v>968.26300000000003</v>
      </c>
      <c r="H244" s="19">
        <f t="shared" si="108"/>
        <v>2</v>
      </c>
      <c r="I244" s="19">
        <v>1.8</v>
      </c>
      <c r="J244" s="36">
        <f>'Flow Rate Calculations'!$B$7</f>
        <v>4.0831050228310497</v>
      </c>
      <c r="K244" s="36">
        <f t="shared" si="98"/>
        <v>1.6045588828318709</v>
      </c>
      <c r="L244" s="37">
        <f>$I244*$K244/'Calculation Constants'!$B$7</f>
        <v>2555934.503625989</v>
      </c>
      <c r="M244" s="37" t="str">
        <f t="shared" si="84"/>
        <v>Greater Dynamic Pressures</v>
      </c>
      <c r="N244" s="23">
        <f t="shared" si="99"/>
        <v>89.459890212457026</v>
      </c>
      <c r="O244" s="57">
        <f t="shared" si="85"/>
        <v>74.965992541446553</v>
      </c>
      <c r="P244" s="66">
        <f>MAX(I244*1000/'Calculation Constants'!$B$14,O244*10*I244*1000/2/('Calculation Constants'!$B$12*1000*'Calculation Constants'!$B$13))</f>
        <v>11.25</v>
      </c>
      <c r="Q244" s="68">
        <f t="shared" si="86"/>
        <v>992548.40161508287</v>
      </c>
      <c r="R244" s="27">
        <f>(1/(2*LOG(3.7*$I244/'Calculation Constants'!$B$2*1000)))^2</f>
        <v>8.7463077071963571E-3</v>
      </c>
      <c r="S244" s="19">
        <f t="shared" si="100"/>
        <v>1.2752477269849725</v>
      </c>
      <c r="T244" s="19">
        <f>IF($H244&gt;0,'Calculation Constants'!$B$9*Hydraulics!$K244^2/2/9.81/MAX($F$4:$F$263)*$H244,"")</f>
        <v>7.5705987075825154E-2</v>
      </c>
      <c r="U244" s="19">
        <f t="shared" si="101"/>
        <v>1.3509537140607977</v>
      </c>
      <c r="V244" s="19">
        <f t="shared" si="87"/>
        <v>0</v>
      </c>
      <c r="W244" s="19">
        <f t="shared" si="88"/>
        <v>89.459890212457026</v>
      </c>
      <c r="X244" s="23">
        <f t="shared" si="89"/>
        <v>1057.7228902124571</v>
      </c>
      <c r="Y244" s="22">
        <f>(1/(2*LOG(3.7*$I244/'Calculation Constants'!$B$3*1000)))^2</f>
        <v>9.8211436332891755E-3</v>
      </c>
      <c r="Z244" s="19">
        <f t="shared" si="90"/>
        <v>1.431963236834217</v>
      </c>
      <c r="AA244" s="19">
        <f>IF($H244&gt;0,'Calculation Constants'!$B$9*Hydraulics!$K244^2/2/9.81/MAX($F$4:$F$263)*$H244,"")</f>
        <v>7.5705987075825154E-2</v>
      </c>
      <c r="AB244" s="19">
        <f t="shared" si="109"/>
        <v>1.5076692239100422</v>
      </c>
      <c r="AC244" s="19">
        <f t="shared" si="91"/>
        <v>0</v>
      </c>
      <c r="AD244" s="19">
        <f t="shared" si="102"/>
        <v>74.965992541446553</v>
      </c>
      <c r="AE244" s="23">
        <f t="shared" si="92"/>
        <v>1043.2289925414466</v>
      </c>
      <c r="AF244" s="27">
        <f>(1/(2*LOG(3.7*$I244/'Calculation Constants'!$B$4*1000)))^2</f>
        <v>1.1575055557914658E-2</v>
      </c>
      <c r="AG244" s="19">
        <f t="shared" si="93"/>
        <v>1.6876908272744866</v>
      </c>
      <c r="AH244" s="19">
        <f>IF($H244&gt;0,'Calculation Constants'!$B$9*Hydraulics!$K244^2/2/9.81/MAX($F$4:$F$263)*$H244,"")</f>
        <v>7.5705987075825154E-2</v>
      </c>
      <c r="AI244" s="19">
        <f t="shared" si="103"/>
        <v>1.7633968143503118</v>
      </c>
      <c r="AJ244" s="19">
        <f t="shared" si="94"/>
        <v>0</v>
      </c>
      <c r="AK244" s="19">
        <f t="shared" si="104"/>
        <v>51.332050928082481</v>
      </c>
      <c r="AL244" s="23">
        <f t="shared" si="95"/>
        <v>1019.5950509280825</v>
      </c>
      <c r="AM244" s="22">
        <f>(1/(2*LOG(3.7*($I244-0.008)/'Calculation Constants'!$B$5*1000)))^2</f>
        <v>1.4709705891825043E-2</v>
      </c>
      <c r="AN244" s="19">
        <f t="shared" si="105"/>
        <v>2.1543104841910781</v>
      </c>
      <c r="AO244" s="19">
        <f>IF($H244&gt;0,'Calculation Constants'!$B$9*Hydraulics!$K244^2/2/9.81/MAX($F$4:$F$263)*$H244,"")</f>
        <v>7.5705987075825154E-2</v>
      </c>
      <c r="AP244" s="19">
        <f t="shared" si="106"/>
        <v>2.2300164712669033</v>
      </c>
      <c r="AQ244" s="19">
        <f t="shared" si="96"/>
        <v>0</v>
      </c>
      <c r="AR244" s="19">
        <f t="shared" si="107"/>
        <v>8.2930854912177665</v>
      </c>
      <c r="AS244" s="23">
        <f t="shared" si="97"/>
        <v>976.5560854912178</v>
      </c>
    </row>
    <row r="245" spans="5:45">
      <c r="E245" s="35" t="str">
        <f t="shared" si="83"/>
        <v/>
      </c>
      <c r="F245" s="19">
        <f>'Profile data'!A245</f>
        <v>484</v>
      </c>
      <c r="G245" s="19">
        <f>VLOOKUP(F245,'Profile data'!A245:C504,IF($B$22="Botswana 1",2,3))</f>
        <v>970.38400000000001</v>
      </c>
      <c r="H245" s="19">
        <f t="shared" si="108"/>
        <v>2</v>
      </c>
      <c r="I245" s="19">
        <v>1.8</v>
      </c>
      <c r="J245" s="36">
        <f>'Flow Rate Calculations'!$B$7</f>
        <v>4.0831050228310497</v>
      </c>
      <c r="K245" s="36">
        <f t="shared" si="98"/>
        <v>1.6045588828318709</v>
      </c>
      <c r="L245" s="37">
        <f>$I245*$K245/'Calculation Constants'!$B$7</f>
        <v>2555934.503625989</v>
      </c>
      <c r="M245" s="37" t="str">
        <f t="shared" si="84"/>
        <v>Greater Dynamic Pressures</v>
      </c>
      <c r="N245" s="23">
        <f t="shared" si="99"/>
        <v>85.987936498396266</v>
      </c>
      <c r="O245" s="57">
        <f t="shared" si="85"/>
        <v>71.337323317536629</v>
      </c>
      <c r="P245" s="66">
        <f>MAX(I245*1000/'Calculation Constants'!$B$14,O245*10*I245*1000/2/('Calculation Constants'!$B$12*1000*'Calculation Constants'!$B$13))</f>
        <v>11.25</v>
      </c>
      <c r="Q245" s="68">
        <f t="shared" si="86"/>
        <v>992548.40161508287</v>
      </c>
      <c r="R245" s="27">
        <f>(1/(2*LOG(3.7*$I245/'Calculation Constants'!$B$2*1000)))^2</f>
        <v>8.7463077071963571E-3</v>
      </c>
      <c r="S245" s="19">
        <f t="shared" si="100"/>
        <v>1.2752477269849725</v>
      </c>
      <c r="T245" s="19">
        <f>IF($H245&gt;0,'Calculation Constants'!$B$9*Hydraulics!$K245^2/2/9.81/MAX($F$4:$F$263)*$H245,"")</f>
        <v>7.5705987075825154E-2</v>
      </c>
      <c r="U245" s="19">
        <f t="shared" si="101"/>
        <v>1.3509537140607977</v>
      </c>
      <c r="V245" s="19">
        <f t="shared" si="87"/>
        <v>0</v>
      </c>
      <c r="W245" s="19">
        <f t="shared" si="88"/>
        <v>85.987936498396266</v>
      </c>
      <c r="X245" s="23">
        <f t="shared" si="89"/>
        <v>1056.3719364983963</v>
      </c>
      <c r="Y245" s="22">
        <f>(1/(2*LOG(3.7*$I245/'Calculation Constants'!$B$3*1000)))^2</f>
        <v>9.8211436332891755E-3</v>
      </c>
      <c r="Z245" s="19">
        <f t="shared" si="90"/>
        <v>1.431963236834217</v>
      </c>
      <c r="AA245" s="19">
        <f>IF($H245&gt;0,'Calculation Constants'!$B$9*Hydraulics!$K245^2/2/9.81/MAX($F$4:$F$263)*$H245,"")</f>
        <v>7.5705987075825154E-2</v>
      </c>
      <c r="AB245" s="19">
        <f t="shared" si="109"/>
        <v>1.5076692239100422</v>
      </c>
      <c r="AC245" s="19">
        <f t="shared" si="91"/>
        <v>0</v>
      </c>
      <c r="AD245" s="19">
        <f t="shared" si="102"/>
        <v>71.337323317536629</v>
      </c>
      <c r="AE245" s="23">
        <f t="shared" si="92"/>
        <v>1041.7213233175366</v>
      </c>
      <c r="AF245" s="27">
        <f>(1/(2*LOG(3.7*$I245/'Calculation Constants'!$B$4*1000)))^2</f>
        <v>1.1575055557914658E-2</v>
      </c>
      <c r="AG245" s="19">
        <f t="shared" si="93"/>
        <v>1.6876908272744866</v>
      </c>
      <c r="AH245" s="19">
        <f>IF($H245&gt;0,'Calculation Constants'!$B$9*Hydraulics!$K245^2/2/9.81/MAX($F$4:$F$263)*$H245,"")</f>
        <v>7.5705987075825154E-2</v>
      </c>
      <c r="AI245" s="19">
        <f t="shared" si="103"/>
        <v>1.7633968143503118</v>
      </c>
      <c r="AJ245" s="19">
        <f t="shared" si="94"/>
        <v>0</v>
      </c>
      <c r="AK245" s="19">
        <f t="shared" si="104"/>
        <v>47.447654113732142</v>
      </c>
      <c r="AL245" s="23">
        <f t="shared" si="95"/>
        <v>1017.8316541137322</v>
      </c>
      <c r="AM245" s="22">
        <f>(1/(2*LOG(3.7*($I245-0.008)/'Calculation Constants'!$B$5*1000)))^2</f>
        <v>1.4709705891825043E-2</v>
      </c>
      <c r="AN245" s="19">
        <f t="shared" si="105"/>
        <v>2.1543104841910781</v>
      </c>
      <c r="AO245" s="19">
        <f>IF($H245&gt;0,'Calculation Constants'!$B$9*Hydraulics!$K245^2/2/9.81/MAX($F$4:$F$263)*$H245,"")</f>
        <v>7.5705987075825154E-2</v>
      </c>
      <c r="AP245" s="19">
        <f t="shared" si="106"/>
        <v>2.2300164712669033</v>
      </c>
      <c r="AQ245" s="19">
        <f t="shared" si="96"/>
        <v>0</v>
      </c>
      <c r="AR245" s="19">
        <f t="shared" si="107"/>
        <v>3.9420690199508499</v>
      </c>
      <c r="AS245" s="23">
        <f t="shared" si="97"/>
        <v>974.32606901995086</v>
      </c>
    </row>
    <row r="246" spans="5:45">
      <c r="E246" s="35" t="str">
        <f t="shared" si="83"/>
        <v/>
      </c>
      <c r="F246" s="19">
        <f>'Profile data'!A246</f>
        <v>486</v>
      </c>
      <c r="G246" s="19">
        <f>VLOOKUP(F246,'Profile data'!A246:C505,IF($B$22="Botswana 1",2,3))</f>
        <v>964.63599999999997</v>
      </c>
      <c r="H246" s="19">
        <f t="shared" si="108"/>
        <v>2</v>
      </c>
      <c r="I246" s="19">
        <v>1.8</v>
      </c>
      <c r="J246" s="36">
        <f>'Flow Rate Calculations'!$B$7</f>
        <v>4.0831050228310497</v>
      </c>
      <c r="K246" s="36">
        <f t="shared" si="98"/>
        <v>1.6045588828318709</v>
      </c>
      <c r="L246" s="37">
        <f>$I246*$K246/'Calculation Constants'!$B$7</f>
        <v>2555934.503625989</v>
      </c>
      <c r="M246" s="37" t="str">
        <f t="shared" si="84"/>
        <v>Greater Dynamic Pressures</v>
      </c>
      <c r="N246" s="23">
        <f t="shared" si="99"/>
        <v>90.384982784335534</v>
      </c>
      <c r="O246" s="57">
        <f t="shared" si="85"/>
        <v>75.577654093626734</v>
      </c>
      <c r="P246" s="66">
        <f>MAX(I246*1000/'Calculation Constants'!$B$14,O246*10*I246*1000/2/('Calculation Constants'!$B$12*1000*'Calculation Constants'!$B$13))</f>
        <v>11.25</v>
      </c>
      <c r="Q246" s="68">
        <f t="shared" si="86"/>
        <v>992548.40161508287</v>
      </c>
      <c r="R246" s="27">
        <f>(1/(2*LOG(3.7*$I246/'Calculation Constants'!$B$2*1000)))^2</f>
        <v>8.7463077071963571E-3</v>
      </c>
      <c r="S246" s="19">
        <f t="shared" si="100"/>
        <v>1.2752477269849725</v>
      </c>
      <c r="T246" s="19">
        <f>IF($H246&gt;0,'Calculation Constants'!$B$9*Hydraulics!$K246^2/2/9.81/MAX($F$4:$F$263)*$H246,"")</f>
        <v>7.5705987075825154E-2</v>
      </c>
      <c r="U246" s="19">
        <f t="shared" si="101"/>
        <v>1.3509537140607977</v>
      </c>
      <c r="V246" s="19">
        <f t="shared" si="87"/>
        <v>0</v>
      </c>
      <c r="W246" s="19">
        <f t="shared" si="88"/>
        <v>90.384982784335534</v>
      </c>
      <c r="X246" s="23">
        <f t="shared" si="89"/>
        <v>1055.0209827843355</v>
      </c>
      <c r="Y246" s="22">
        <f>(1/(2*LOG(3.7*$I246/'Calculation Constants'!$B$3*1000)))^2</f>
        <v>9.8211436332891755E-3</v>
      </c>
      <c r="Z246" s="19">
        <f t="shared" si="90"/>
        <v>1.431963236834217</v>
      </c>
      <c r="AA246" s="19">
        <f>IF($H246&gt;0,'Calculation Constants'!$B$9*Hydraulics!$K246^2/2/9.81/MAX($F$4:$F$263)*$H246,"")</f>
        <v>7.5705987075825154E-2</v>
      </c>
      <c r="AB246" s="19">
        <f t="shared" si="109"/>
        <v>1.5076692239100422</v>
      </c>
      <c r="AC246" s="19">
        <f t="shared" si="91"/>
        <v>0</v>
      </c>
      <c r="AD246" s="19">
        <f t="shared" si="102"/>
        <v>75.577654093626734</v>
      </c>
      <c r="AE246" s="23">
        <f t="shared" si="92"/>
        <v>1040.2136540936267</v>
      </c>
      <c r="AF246" s="27">
        <f>(1/(2*LOG(3.7*$I246/'Calculation Constants'!$B$4*1000)))^2</f>
        <v>1.1575055557914658E-2</v>
      </c>
      <c r="AG246" s="19">
        <f t="shared" si="93"/>
        <v>1.6876908272744866</v>
      </c>
      <c r="AH246" s="19">
        <f>IF($H246&gt;0,'Calculation Constants'!$B$9*Hydraulics!$K246^2/2/9.81/MAX($F$4:$F$263)*$H246,"")</f>
        <v>7.5705987075825154E-2</v>
      </c>
      <c r="AI246" s="19">
        <f t="shared" si="103"/>
        <v>1.7633968143503118</v>
      </c>
      <c r="AJ246" s="19">
        <f t="shared" si="94"/>
        <v>0</v>
      </c>
      <c r="AK246" s="19">
        <f t="shared" si="104"/>
        <v>51.432257299381831</v>
      </c>
      <c r="AL246" s="23">
        <f t="shared" si="95"/>
        <v>1016.0682572993818</v>
      </c>
      <c r="AM246" s="22">
        <f>(1/(2*LOG(3.7*($I246-0.008)/'Calculation Constants'!$B$5*1000)))^2</f>
        <v>1.4709705891825043E-2</v>
      </c>
      <c r="AN246" s="19">
        <f t="shared" si="105"/>
        <v>2.1543104841910781</v>
      </c>
      <c r="AO246" s="19">
        <f>IF($H246&gt;0,'Calculation Constants'!$B$9*Hydraulics!$K246^2/2/9.81/MAX($F$4:$F$263)*$H246,"")</f>
        <v>7.5705987075825154E-2</v>
      </c>
      <c r="AP246" s="19">
        <f t="shared" si="106"/>
        <v>2.2300164712669033</v>
      </c>
      <c r="AQ246" s="19">
        <f t="shared" si="96"/>
        <v>0</v>
      </c>
      <c r="AR246" s="19">
        <f t="shared" si="107"/>
        <v>7.4600525486839615</v>
      </c>
      <c r="AS246" s="23">
        <f t="shared" si="97"/>
        <v>972.09605254868393</v>
      </c>
    </row>
    <row r="247" spans="5:45">
      <c r="E247" s="35" t="str">
        <f t="shared" si="83"/>
        <v/>
      </c>
      <c r="F247" s="19">
        <f>'Profile data'!A247</f>
        <v>488</v>
      </c>
      <c r="G247" s="19">
        <f>VLOOKUP(F247,'Profile data'!A247:C506,IF($B$22="Botswana 1",2,3))</f>
        <v>956.63099999999997</v>
      </c>
      <c r="H247" s="19">
        <f t="shared" si="108"/>
        <v>2</v>
      </c>
      <c r="I247" s="19">
        <v>1.8</v>
      </c>
      <c r="J247" s="36">
        <f>'Flow Rate Calculations'!$B$7</f>
        <v>4.0831050228310497</v>
      </c>
      <c r="K247" s="36">
        <f t="shared" si="98"/>
        <v>1.6045588828318709</v>
      </c>
      <c r="L247" s="37">
        <f>$I247*$K247/'Calculation Constants'!$B$7</f>
        <v>2555934.503625989</v>
      </c>
      <c r="M247" s="37" t="str">
        <f t="shared" si="84"/>
        <v>Greater Dynamic Pressures</v>
      </c>
      <c r="N247" s="23">
        <f t="shared" si="99"/>
        <v>97.039029070274751</v>
      </c>
      <c r="O247" s="57">
        <f t="shared" si="85"/>
        <v>82.074984869716786</v>
      </c>
      <c r="P247" s="66">
        <f>MAX(I247*1000/'Calculation Constants'!$B$14,O247*10*I247*1000/2/('Calculation Constants'!$B$12*1000*'Calculation Constants'!$B$13))</f>
        <v>11.25</v>
      </c>
      <c r="Q247" s="68">
        <f t="shared" si="86"/>
        <v>992548.40161508287</v>
      </c>
      <c r="R247" s="27">
        <f>(1/(2*LOG(3.7*$I247/'Calculation Constants'!$B$2*1000)))^2</f>
        <v>8.7463077071963571E-3</v>
      </c>
      <c r="S247" s="19">
        <f t="shared" si="100"/>
        <v>1.2752477269849725</v>
      </c>
      <c r="T247" s="19">
        <f>IF($H247&gt;0,'Calculation Constants'!$B$9*Hydraulics!$K247^2/2/9.81/MAX($F$4:$F$263)*$H247,"")</f>
        <v>7.5705987075825154E-2</v>
      </c>
      <c r="U247" s="19">
        <f t="shared" si="101"/>
        <v>1.3509537140607977</v>
      </c>
      <c r="V247" s="19">
        <f t="shared" si="87"/>
        <v>0</v>
      </c>
      <c r="W247" s="19">
        <f t="shared" si="88"/>
        <v>97.039029070274751</v>
      </c>
      <c r="X247" s="23">
        <f t="shared" si="89"/>
        <v>1053.6700290702747</v>
      </c>
      <c r="Y247" s="22">
        <f>(1/(2*LOG(3.7*$I247/'Calculation Constants'!$B$3*1000)))^2</f>
        <v>9.8211436332891755E-3</v>
      </c>
      <c r="Z247" s="19">
        <f t="shared" si="90"/>
        <v>1.431963236834217</v>
      </c>
      <c r="AA247" s="19">
        <f>IF($H247&gt;0,'Calculation Constants'!$B$9*Hydraulics!$K247^2/2/9.81/MAX($F$4:$F$263)*$H247,"")</f>
        <v>7.5705987075825154E-2</v>
      </c>
      <c r="AB247" s="19">
        <f t="shared" si="109"/>
        <v>1.5076692239100422</v>
      </c>
      <c r="AC247" s="19">
        <f t="shared" si="91"/>
        <v>0</v>
      </c>
      <c r="AD247" s="19">
        <f t="shared" si="102"/>
        <v>82.074984869716786</v>
      </c>
      <c r="AE247" s="23">
        <f t="shared" si="92"/>
        <v>1038.7059848697168</v>
      </c>
      <c r="AF247" s="27">
        <f>(1/(2*LOG(3.7*$I247/'Calculation Constants'!$B$4*1000)))^2</f>
        <v>1.1575055557914658E-2</v>
      </c>
      <c r="AG247" s="19">
        <f t="shared" si="93"/>
        <v>1.6876908272744866</v>
      </c>
      <c r="AH247" s="19">
        <f>IF($H247&gt;0,'Calculation Constants'!$B$9*Hydraulics!$K247^2/2/9.81/MAX($F$4:$F$263)*$H247,"")</f>
        <v>7.5705987075825154E-2</v>
      </c>
      <c r="AI247" s="19">
        <f t="shared" si="103"/>
        <v>1.7633968143503118</v>
      </c>
      <c r="AJ247" s="19">
        <f t="shared" si="94"/>
        <v>0</v>
      </c>
      <c r="AK247" s="19">
        <f t="shared" si="104"/>
        <v>57.673860485031469</v>
      </c>
      <c r="AL247" s="23">
        <f t="shared" si="95"/>
        <v>1014.3048604850314</v>
      </c>
      <c r="AM247" s="22">
        <f>(1/(2*LOG(3.7*($I247-0.008)/'Calculation Constants'!$B$5*1000)))^2</f>
        <v>1.4709705891825043E-2</v>
      </c>
      <c r="AN247" s="19">
        <f t="shared" si="105"/>
        <v>2.1543104841910781</v>
      </c>
      <c r="AO247" s="19">
        <f>IF($H247&gt;0,'Calculation Constants'!$B$9*Hydraulics!$K247^2/2/9.81/MAX($F$4:$F$263)*$H247,"")</f>
        <v>7.5705987075825154E-2</v>
      </c>
      <c r="AP247" s="19">
        <f t="shared" si="106"/>
        <v>2.2300164712669033</v>
      </c>
      <c r="AQ247" s="19">
        <f t="shared" si="96"/>
        <v>0</v>
      </c>
      <c r="AR247" s="19">
        <f t="shared" si="107"/>
        <v>13.235036077417021</v>
      </c>
      <c r="AS247" s="23">
        <f t="shared" si="97"/>
        <v>969.86603607741699</v>
      </c>
    </row>
    <row r="248" spans="5:45">
      <c r="E248" s="35" t="str">
        <f t="shared" si="83"/>
        <v/>
      </c>
      <c r="F248" s="19">
        <f>'Profile data'!A248</f>
        <v>490</v>
      </c>
      <c r="G248" s="19">
        <f>VLOOKUP(F248,'Profile data'!A248:C507,IF($B$22="Botswana 1",2,3))</f>
        <v>947.42600000000004</v>
      </c>
      <c r="H248" s="19">
        <f t="shared" si="108"/>
        <v>2</v>
      </c>
      <c r="I248" s="19">
        <v>1.8</v>
      </c>
      <c r="J248" s="36">
        <f>'Flow Rate Calculations'!$B$7</f>
        <v>4.0831050228310497</v>
      </c>
      <c r="K248" s="36">
        <f t="shared" si="98"/>
        <v>1.6045588828318709</v>
      </c>
      <c r="L248" s="37">
        <f>$I248*$K248/'Calculation Constants'!$B$7</f>
        <v>2555934.503625989</v>
      </c>
      <c r="M248" s="37" t="str">
        <f t="shared" si="84"/>
        <v>Greater Dynamic Pressures</v>
      </c>
      <c r="N248" s="23">
        <f t="shared" si="99"/>
        <v>104.8930753562139</v>
      </c>
      <c r="O248" s="57">
        <f t="shared" si="85"/>
        <v>89.772315645806771</v>
      </c>
      <c r="P248" s="66">
        <f>MAX(I248*1000/'Calculation Constants'!$B$14,O248*10*I248*1000/2/('Calculation Constants'!$B$12*1000*'Calculation Constants'!$B$13))</f>
        <v>11.25</v>
      </c>
      <c r="Q248" s="68">
        <f t="shared" si="86"/>
        <v>992548.40161508287</v>
      </c>
      <c r="R248" s="27">
        <f>(1/(2*LOG(3.7*$I248/'Calculation Constants'!$B$2*1000)))^2</f>
        <v>8.7463077071963571E-3</v>
      </c>
      <c r="S248" s="19">
        <f t="shared" si="100"/>
        <v>1.2752477269849725</v>
      </c>
      <c r="T248" s="19">
        <f>IF($H248&gt;0,'Calculation Constants'!$B$9*Hydraulics!$K248^2/2/9.81/MAX($F$4:$F$263)*$H248,"")</f>
        <v>7.5705987075825154E-2</v>
      </c>
      <c r="U248" s="19">
        <f t="shared" si="101"/>
        <v>1.3509537140607977</v>
      </c>
      <c r="V248" s="19">
        <f t="shared" si="87"/>
        <v>0</v>
      </c>
      <c r="W248" s="19">
        <f t="shared" si="88"/>
        <v>104.8930753562139</v>
      </c>
      <c r="X248" s="23">
        <f t="shared" si="89"/>
        <v>1052.3190753562139</v>
      </c>
      <c r="Y248" s="22">
        <f>(1/(2*LOG(3.7*$I248/'Calculation Constants'!$B$3*1000)))^2</f>
        <v>9.8211436332891755E-3</v>
      </c>
      <c r="Z248" s="19">
        <f t="shared" si="90"/>
        <v>1.431963236834217</v>
      </c>
      <c r="AA248" s="19">
        <f>IF($H248&gt;0,'Calculation Constants'!$B$9*Hydraulics!$K248^2/2/9.81/MAX($F$4:$F$263)*$H248,"")</f>
        <v>7.5705987075825154E-2</v>
      </c>
      <c r="AB248" s="19">
        <f t="shared" si="109"/>
        <v>1.5076692239100422</v>
      </c>
      <c r="AC248" s="19">
        <f t="shared" si="91"/>
        <v>0</v>
      </c>
      <c r="AD248" s="19">
        <f t="shared" si="102"/>
        <v>89.772315645806771</v>
      </c>
      <c r="AE248" s="23">
        <f t="shared" si="92"/>
        <v>1037.1983156458068</v>
      </c>
      <c r="AF248" s="27">
        <f>(1/(2*LOG(3.7*$I248/'Calculation Constants'!$B$4*1000)))^2</f>
        <v>1.1575055557914658E-2</v>
      </c>
      <c r="AG248" s="19">
        <f t="shared" si="93"/>
        <v>1.6876908272744866</v>
      </c>
      <c r="AH248" s="19">
        <f>IF($H248&gt;0,'Calculation Constants'!$B$9*Hydraulics!$K248^2/2/9.81/MAX($F$4:$F$263)*$H248,"")</f>
        <v>7.5705987075825154E-2</v>
      </c>
      <c r="AI248" s="19">
        <f t="shared" si="103"/>
        <v>1.7633968143503118</v>
      </c>
      <c r="AJ248" s="19">
        <f t="shared" si="94"/>
        <v>0</v>
      </c>
      <c r="AK248" s="19">
        <f t="shared" si="104"/>
        <v>65.115463670681038</v>
      </c>
      <c r="AL248" s="23">
        <f t="shared" si="95"/>
        <v>1012.5414636706811</v>
      </c>
      <c r="AM248" s="22">
        <f>(1/(2*LOG(3.7*($I248-0.008)/'Calculation Constants'!$B$5*1000)))^2</f>
        <v>1.4709705891825043E-2</v>
      </c>
      <c r="AN248" s="19">
        <f t="shared" si="105"/>
        <v>2.1543104841910781</v>
      </c>
      <c r="AO248" s="19">
        <f>IF($H248&gt;0,'Calculation Constants'!$B$9*Hydraulics!$K248^2/2/9.81/MAX($F$4:$F$263)*$H248,"")</f>
        <v>7.5705987075825154E-2</v>
      </c>
      <c r="AP248" s="19">
        <f t="shared" si="106"/>
        <v>2.2300164712669033</v>
      </c>
      <c r="AQ248" s="19">
        <f t="shared" si="96"/>
        <v>0</v>
      </c>
      <c r="AR248" s="19">
        <f t="shared" si="107"/>
        <v>20.210019606150013</v>
      </c>
      <c r="AS248" s="23">
        <f t="shared" si="97"/>
        <v>967.63601960615006</v>
      </c>
    </row>
    <row r="249" spans="5:45">
      <c r="E249" s="35" t="str">
        <f t="shared" si="83"/>
        <v/>
      </c>
      <c r="F249" s="19">
        <f>'Profile data'!A249</f>
        <v>492</v>
      </c>
      <c r="G249" s="19">
        <f>VLOOKUP(F249,'Profile data'!A249:C508,IF($B$22="Botswana 1",2,3))</f>
        <v>941.72</v>
      </c>
      <c r="H249" s="19">
        <f t="shared" si="108"/>
        <v>2</v>
      </c>
      <c r="I249" s="19">
        <v>1.8</v>
      </c>
      <c r="J249" s="36">
        <f>'Flow Rate Calculations'!$B$7</f>
        <v>4.0831050228310497</v>
      </c>
      <c r="K249" s="36">
        <f t="shared" si="98"/>
        <v>1.6045588828318709</v>
      </c>
      <c r="L249" s="37">
        <f>$I249*$K249/'Calculation Constants'!$B$7</f>
        <v>2555934.503625989</v>
      </c>
      <c r="M249" s="37" t="str">
        <f t="shared" si="84"/>
        <v>Greater Dynamic Pressures</v>
      </c>
      <c r="N249" s="23">
        <f t="shared" si="99"/>
        <v>109.24812164215314</v>
      </c>
      <c r="O249" s="57">
        <f t="shared" si="85"/>
        <v>93.970646421896845</v>
      </c>
      <c r="P249" s="66">
        <f>MAX(I249*1000/'Calculation Constants'!$B$14,O249*10*I249*1000/2/('Calculation Constants'!$B$12*1000*'Calculation Constants'!$B$13))</f>
        <v>11.25</v>
      </c>
      <c r="Q249" s="68">
        <f t="shared" si="86"/>
        <v>992548.40161508287</v>
      </c>
      <c r="R249" s="27">
        <f>(1/(2*LOG(3.7*$I249/'Calculation Constants'!$B$2*1000)))^2</f>
        <v>8.7463077071963571E-3</v>
      </c>
      <c r="S249" s="19">
        <f t="shared" si="100"/>
        <v>1.2752477269849725</v>
      </c>
      <c r="T249" s="19">
        <f>IF($H249&gt;0,'Calculation Constants'!$B$9*Hydraulics!$K249^2/2/9.81/MAX($F$4:$F$263)*$H249,"")</f>
        <v>7.5705987075825154E-2</v>
      </c>
      <c r="U249" s="19">
        <f t="shared" si="101"/>
        <v>1.3509537140607977</v>
      </c>
      <c r="V249" s="19">
        <f t="shared" si="87"/>
        <v>0</v>
      </c>
      <c r="W249" s="19">
        <f t="shared" si="88"/>
        <v>109.24812164215314</v>
      </c>
      <c r="X249" s="23">
        <f t="shared" si="89"/>
        <v>1050.9681216421532</v>
      </c>
      <c r="Y249" s="22">
        <f>(1/(2*LOG(3.7*$I249/'Calculation Constants'!$B$3*1000)))^2</f>
        <v>9.8211436332891755E-3</v>
      </c>
      <c r="Z249" s="19">
        <f t="shared" si="90"/>
        <v>1.431963236834217</v>
      </c>
      <c r="AA249" s="19">
        <f>IF($H249&gt;0,'Calculation Constants'!$B$9*Hydraulics!$K249^2/2/9.81/MAX($F$4:$F$263)*$H249,"")</f>
        <v>7.5705987075825154E-2</v>
      </c>
      <c r="AB249" s="19">
        <f t="shared" si="109"/>
        <v>1.5076692239100422</v>
      </c>
      <c r="AC249" s="19">
        <f t="shared" si="91"/>
        <v>0</v>
      </c>
      <c r="AD249" s="19">
        <f t="shared" si="102"/>
        <v>93.970646421896845</v>
      </c>
      <c r="AE249" s="23">
        <f t="shared" si="92"/>
        <v>1035.6906464218969</v>
      </c>
      <c r="AF249" s="27">
        <f>(1/(2*LOG(3.7*$I249/'Calculation Constants'!$B$4*1000)))^2</f>
        <v>1.1575055557914658E-2</v>
      </c>
      <c r="AG249" s="19">
        <f t="shared" si="93"/>
        <v>1.6876908272744866</v>
      </c>
      <c r="AH249" s="19">
        <f>IF($H249&gt;0,'Calculation Constants'!$B$9*Hydraulics!$K249^2/2/9.81/MAX($F$4:$F$263)*$H249,"")</f>
        <v>7.5705987075825154E-2</v>
      </c>
      <c r="AI249" s="19">
        <f t="shared" si="103"/>
        <v>1.7633968143503118</v>
      </c>
      <c r="AJ249" s="19">
        <f t="shared" si="94"/>
        <v>0</v>
      </c>
      <c r="AK249" s="19">
        <f t="shared" si="104"/>
        <v>69.058066856330697</v>
      </c>
      <c r="AL249" s="23">
        <f t="shared" si="95"/>
        <v>1010.7780668563307</v>
      </c>
      <c r="AM249" s="22">
        <f>(1/(2*LOG(3.7*($I249-0.008)/'Calculation Constants'!$B$5*1000)))^2</f>
        <v>1.4709705891825043E-2</v>
      </c>
      <c r="AN249" s="19">
        <f t="shared" si="105"/>
        <v>2.1543104841910781</v>
      </c>
      <c r="AO249" s="19">
        <f>IF($H249&gt;0,'Calculation Constants'!$B$9*Hydraulics!$K249^2/2/9.81/MAX($F$4:$F$263)*$H249,"")</f>
        <v>7.5705987075825154E-2</v>
      </c>
      <c r="AP249" s="19">
        <f t="shared" si="106"/>
        <v>2.2300164712669033</v>
      </c>
      <c r="AQ249" s="19">
        <f t="shared" si="96"/>
        <v>0</v>
      </c>
      <c r="AR249" s="19">
        <f t="shared" si="107"/>
        <v>23.686003134883094</v>
      </c>
      <c r="AS249" s="23">
        <f t="shared" si="97"/>
        <v>965.40600313488312</v>
      </c>
    </row>
    <row r="250" spans="5:45">
      <c r="E250" s="35" t="str">
        <f t="shared" si="83"/>
        <v/>
      </c>
      <c r="F250" s="19">
        <f>'Profile data'!A250</f>
        <v>494</v>
      </c>
      <c r="G250" s="19">
        <f>VLOOKUP(F250,'Profile data'!A250:C509,IF($B$22="Botswana 1",2,3))</f>
        <v>935.98500000000001</v>
      </c>
      <c r="H250" s="19">
        <f t="shared" si="108"/>
        <v>2</v>
      </c>
      <c r="I250" s="19">
        <v>1.8</v>
      </c>
      <c r="J250" s="36">
        <f>'Flow Rate Calculations'!$B$7</f>
        <v>4.0831050228310497</v>
      </c>
      <c r="K250" s="36">
        <f t="shared" si="98"/>
        <v>1.6045588828318709</v>
      </c>
      <c r="L250" s="37">
        <f>$I250*$K250/'Calculation Constants'!$B$7</f>
        <v>2555934.503625989</v>
      </c>
      <c r="M250" s="37" t="str">
        <f t="shared" si="84"/>
        <v>Greater Dynamic Pressures</v>
      </c>
      <c r="N250" s="23">
        <f t="shared" si="99"/>
        <v>113.63216792809237</v>
      </c>
      <c r="O250" s="57">
        <f t="shared" si="85"/>
        <v>98.197977197986916</v>
      </c>
      <c r="P250" s="66">
        <f>MAX(I250*1000/'Calculation Constants'!$B$14,O250*10*I250*1000/2/('Calculation Constants'!$B$12*1000*'Calculation Constants'!$B$13))</f>
        <v>11.25</v>
      </c>
      <c r="Q250" s="68">
        <f t="shared" si="86"/>
        <v>992548.40161508287</v>
      </c>
      <c r="R250" s="27">
        <f>(1/(2*LOG(3.7*$I250/'Calculation Constants'!$B$2*1000)))^2</f>
        <v>8.7463077071963571E-3</v>
      </c>
      <c r="S250" s="19">
        <f t="shared" si="100"/>
        <v>1.2752477269849725</v>
      </c>
      <c r="T250" s="19">
        <f>IF($H250&gt;0,'Calculation Constants'!$B$9*Hydraulics!$K250^2/2/9.81/MAX($F$4:$F$263)*$H250,"")</f>
        <v>7.5705987075825154E-2</v>
      </c>
      <c r="U250" s="19">
        <f t="shared" si="101"/>
        <v>1.3509537140607977</v>
      </c>
      <c r="V250" s="19">
        <f t="shared" si="87"/>
        <v>0</v>
      </c>
      <c r="W250" s="19">
        <f t="shared" si="88"/>
        <v>113.63216792809237</v>
      </c>
      <c r="X250" s="23">
        <f t="shared" si="89"/>
        <v>1049.6171679280924</v>
      </c>
      <c r="Y250" s="22">
        <f>(1/(2*LOG(3.7*$I250/'Calculation Constants'!$B$3*1000)))^2</f>
        <v>9.8211436332891755E-3</v>
      </c>
      <c r="Z250" s="19">
        <f t="shared" si="90"/>
        <v>1.431963236834217</v>
      </c>
      <c r="AA250" s="19">
        <f>IF($H250&gt;0,'Calculation Constants'!$B$9*Hydraulics!$K250^2/2/9.81/MAX($F$4:$F$263)*$H250,"")</f>
        <v>7.5705987075825154E-2</v>
      </c>
      <c r="AB250" s="19">
        <f t="shared" si="109"/>
        <v>1.5076692239100422</v>
      </c>
      <c r="AC250" s="19">
        <f t="shared" si="91"/>
        <v>0</v>
      </c>
      <c r="AD250" s="19">
        <f t="shared" si="102"/>
        <v>98.197977197986916</v>
      </c>
      <c r="AE250" s="23">
        <f t="shared" si="92"/>
        <v>1034.1829771979869</v>
      </c>
      <c r="AF250" s="27">
        <f>(1/(2*LOG(3.7*$I250/'Calculation Constants'!$B$4*1000)))^2</f>
        <v>1.1575055557914658E-2</v>
      </c>
      <c r="AG250" s="19">
        <f t="shared" si="93"/>
        <v>1.6876908272744866</v>
      </c>
      <c r="AH250" s="19">
        <f>IF($H250&gt;0,'Calculation Constants'!$B$9*Hydraulics!$K250^2/2/9.81/MAX($F$4:$F$263)*$H250,"")</f>
        <v>7.5705987075825154E-2</v>
      </c>
      <c r="AI250" s="19">
        <f t="shared" si="103"/>
        <v>1.7633968143503118</v>
      </c>
      <c r="AJ250" s="19">
        <f t="shared" si="94"/>
        <v>0</v>
      </c>
      <c r="AK250" s="19">
        <f t="shared" si="104"/>
        <v>73.029670041980353</v>
      </c>
      <c r="AL250" s="23">
        <f t="shared" si="95"/>
        <v>1009.0146700419804</v>
      </c>
      <c r="AM250" s="22">
        <f>(1/(2*LOG(3.7*($I250-0.008)/'Calculation Constants'!$B$5*1000)))^2</f>
        <v>1.4709705891825043E-2</v>
      </c>
      <c r="AN250" s="19">
        <f t="shared" si="105"/>
        <v>2.1543104841910781</v>
      </c>
      <c r="AO250" s="19">
        <f>IF($H250&gt;0,'Calculation Constants'!$B$9*Hydraulics!$K250^2/2/9.81/MAX($F$4:$F$263)*$H250,"")</f>
        <v>7.5705987075825154E-2</v>
      </c>
      <c r="AP250" s="19">
        <f t="shared" si="106"/>
        <v>2.2300164712669033</v>
      </c>
      <c r="AQ250" s="19">
        <f t="shared" si="96"/>
        <v>0</v>
      </c>
      <c r="AR250" s="19">
        <f t="shared" si="107"/>
        <v>27.190986663616172</v>
      </c>
      <c r="AS250" s="23">
        <f t="shared" si="97"/>
        <v>963.17598666361619</v>
      </c>
    </row>
    <row r="251" spans="5:45">
      <c r="E251" s="35" t="str">
        <f t="shared" si="83"/>
        <v/>
      </c>
      <c r="F251" s="19">
        <f>'Profile data'!A251</f>
        <v>496</v>
      </c>
      <c r="G251" s="19">
        <f>VLOOKUP(F251,'Profile data'!A251:C510,IF($B$22="Botswana 1",2,3))</f>
        <v>930.47500000000002</v>
      </c>
      <c r="H251" s="19">
        <f t="shared" si="108"/>
        <v>2</v>
      </c>
      <c r="I251" s="19">
        <v>1.8</v>
      </c>
      <c r="J251" s="36">
        <f>'Flow Rate Calculations'!$B$7</f>
        <v>4.0831050228310497</v>
      </c>
      <c r="K251" s="36">
        <f t="shared" si="98"/>
        <v>1.6045588828318709</v>
      </c>
      <c r="L251" s="37">
        <f>$I251*$K251/'Calculation Constants'!$B$7</f>
        <v>2555934.503625989</v>
      </c>
      <c r="M251" s="37" t="str">
        <f t="shared" si="84"/>
        <v>Greater Dynamic Pressures</v>
      </c>
      <c r="N251" s="23">
        <f t="shared" si="99"/>
        <v>117.79121421403158</v>
      </c>
      <c r="O251" s="57">
        <f t="shared" si="85"/>
        <v>102.20030797407696</v>
      </c>
      <c r="P251" s="66">
        <f>MAX(I251*1000/'Calculation Constants'!$B$14,O251*10*I251*1000/2/('Calculation Constants'!$B$12*1000*'Calculation Constants'!$B$13))</f>
        <v>11.25</v>
      </c>
      <c r="Q251" s="68">
        <f t="shared" si="86"/>
        <v>992548.40161508287</v>
      </c>
      <c r="R251" s="27">
        <f>(1/(2*LOG(3.7*$I251/'Calculation Constants'!$B$2*1000)))^2</f>
        <v>8.7463077071963571E-3</v>
      </c>
      <c r="S251" s="19">
        <f t="shared" si="100"/>
        <v>1.2752477269849725</v>
      </c>
      <c r="T251" s="19">
        <f>IF($H251&gt;0,'Calculation Constants'!$B$9*Hydraulics!$K251^2/2/9.81/MAX($F$4:$F$263)*$H251,"")</f>
        <v>7.5705987075825154E-2</v>
      </c>
      <c r="U251" s="19">
        <f t="shared" si="101"/>
        <v>1.3509537140607977</v>
      </c>
      <c r="V251" s="19">
        <f t="shared" si="87"/>
        <v>0</v>
      </c>
      <c r="W251" s="19">
        <f t="shared" si="88"/>
        <v>117.79121421403158</v>
      </c>
      <c r="X251" s="23">
        <f t="shared" si="89"/>
        <v>1048.2662142140316</v>
      </c>
      <c r="Y251" s="22">
        <f>(1/(2*LOG(3.7*$I251/'Calculation Constants'!$B$3*1000)))^2</f>
        <v>9.8211436332891755E-3</v>
      </c>
      <c r="Z251" s="19">
        <f t="shared" si="90"/>
        <v>1.431963236834217</v>
      </c>
      <c r="AA251" s="19">
        <f>IF($H251&gt;0,'Calculation Constants'!$B$9*Hydraulics!$K251^2/2/9.81/MAX($F$4:$F$263)*$H251,"")</f>
        <v>7.5705987075825154E-2</v>
      </c>
      <c r="AB251" s="19">
        <f t="shared" si="109"/>
        <v>1.5076692239100422</v>
      </c>
      <c r="AC251" s="19">
        <f t="shared" si="91"/>
        <v>0</v>
      </c>
      <c r="AD251" s="19">
        <f t="shared" si="102"/>
        <v>102.20030797407696</v>
      </c>
      <c r="AE251" s="23">
        <f t="shared" si="92"/>
        <v>1032.675307974077</v>
      </c>
      <c r="AF251" s="27">
        <f>(1/(2*LOG(3.7*$I251/'Calculation Constants'!$B$4*1000)))^2</f>
        <v>1.1575055557914658E-2</v>
      </c>
      <c r="AG251" s="19">
        <f t="shared" si="93"/>
        <v>1.6876908272744866</v>
      </c>
      <c r="AH251" s="19">
        <f>IF($H251&gt;0,'Calculation Constants'!$B$9*Hydraulics!$K251^2/2/9.81/MAX($F$4:$F$263)*$H251,"")</f>
        <v>7.5705987075825154E-2</v>
      </c>
      <c r="AI251" s="19">
        <f t="shared" si="103"/>
        <v>1.7633968143503118</v>
      </c>
      <c r="AJ251" s="19">
        <f t="shared" si="94"/>
        <v>0</v>
      </c>
      <c r="AK251" s="19">
        <f t="shared" si="104"/>
        <v>76.776273227629986</v>
      </c>
      <c r="AL251" s="23">
        <f t="shared" si="95"/>
        <v>1007.25127322763</v>
      </c>
      <c r="AM251" s="22">
        <f>(1/(2*LOG(3.7*($I251-0.008)/'Calculation Constants'!$B$5*1000)))^2</f>
        <v>1.4709705891825043E-2</v>
      </c>
      <c r="AN251" s="19">
        <f t="shared" si="105"/>
        <v>2.1543104841910781</v>
      </c>
      <c r="AO251" s="19">
        <f>IF($H251&gt;0,'Calculation Constants'!$B$9*Hydraulics!$K251^2/2/9.81/MAX($F$4:$F$263)*$H251,"")</f>
        <v>7.5705987075825154E-2</v>
      </c>
      <c r="AP251" s="19">
        <f t="shared" si="106"/>
        <v>2.2300164712669033</v>
      </c>
      <c r="AQ251" s="19">
        <f t="shared" si="96"/>
        <v>0</v>
      </c>
      <c r="AR251" s="19">
        <f t="shared" si="107"/>
        <v>30.470970192349228</v>
      </c>
      <c r="AS251" s="23">
        <f t="shared" si="97"/>
        <v>960.94597019234925</v>
      </c>
    </row>
    <row r="252" spans="5:45">
      <c r="E252" s="35" t="str">
        <f t="shared" si="83"/>
        <v/>
      </c>
      <c r="F252" s="19">
        <f>'Profile data'!A252</f>
        <v>498</v>
      </c>
      <c r="G252" s="19">
        <f>VLOOKUP(F252,'Profile data'!A252:C511,IF($B$22="Botswana 1",2,3))</f>
        <v>927.61099999999999</v>
      </c>
      <c r="H252" s="19">
        <f t="shared" si="108"/>
        <v>2</v>
      </c>
      <c r="I252" s="19">
        <v>1.8</v>
      </c>
      <c r="J252" s="36">
        <f>'Flow Rate Calculations'!$B$7</f>
        <v>4.0831050228310497</v>
      </c>
      <c r="K252" s="36">
        <f t="shared" si="98"/>
        <v>1.6045588828318709</v>
      </c>
      <c r="L252" s="37">
        <f>$I252*$K252/'Calculation Constants'!$B$7</f>
        <v>2555934.503625989</v>
      </c>
      <c r="M252" s="37" t="str">
        <f t="shared" si="84"/>
        <v>Greater Dynamic Pressures</v>
      </c>
      <c r="N252" s="23">
        <f t="shared" si="99"/>
        <v>119.30426049997084</v>
      </c>
      <c r="O252" s="57">
        <f t="shared" si="85"/>
        <v>103.55663875016705</v>
      </c>
      <c r="P252" s="66">
        <f>MAX(I252*1000/'Calculation Constants'!$B$14,O252*10*I252*1000/2/('Calculation Constants'!$B$12*1000*'Calculation Constants'!$B$13))</f>
        <v>11.25</v>
      </c>
      <c r="Q252" s="68">
        <f t="shared" si="86"/>
        <v>992548.40161508287</v>
      </c>
      <c r="R252" s="27">
        <f>(1/(2*LOG(3.7*$I252/'Calculation Constants'!$B$2*1000)))^2</f>
        <v>8.7463077071963571E-3</v>
      </c>
      <c r="S252" s="19">
        <f t="shared" si="100"/>
        <v>1.2752477269849725</v>
      </c>
      <c r="T252" s="19">
        <f>IF($H252&gt;0,'Calculation Constants'!$B$9*Hydraulics!$K252^2/2/9.81/MAX($F$4:$F$263)*$H252,"")</f>
        <v>7.5705987075825154E-2</v>
      </c>
      <c r="U252" s="19">
        <f t="shared" si="101"/>
        <v>1.3509537140607977</v>
      </c>
      <c r="V252" s="19">
        <f t="shared" si="87"/>
        <v>0</v>
      </c>
      <c r="W252" s="19">
        <f t="shared" si="88"/>
        <v>119.30426049997084</v>
      </c>
      <c r="X252" s="23">
        <f t="shared" si="89"/>
        <v>1046.9152604999708</v>
      </c>
      <c r="Y252" s="22">
        <f>(1/(2*LOG(3.7*$I252/'Calculation Constants'!$B$3*1000)))^2</f>
        <v>9.8211436332891755E-3</v>
      </c>
      <c r="Z252" s="19">
        <f t="shared" si="90"/>
        <v>1.431963236834217</v>
      </c>
      <c r="AA252" s="19">
        <f>IF($H252&gt;0,'Calculation Constants'!$B$9*Hydraulics!$K252^2/2/9.81/MAX($F$4:$F$263)*$H252,"")</f>
        <v>7.5705987075825154E-2</v>
      </c>
      <c r="AB252" s="19">
        <f t="shared" si="109"/>
        <v>1.5076692239100422</v>
      </c>
      <c r="AC252" s="19">
        <f t="shared" si="91"/>
        <v>0</v>
      </c>
      <c r="AD252" s="19">
        <f t="shared" si="102"/>
        <v>103.55663875016705</v>
      </c>
      <c r="AE252" s="23">
        <f t="shared" si="92"/>
        <v>1031.167638750167</v>
      </c>
      <c r="AF252" s="27">
        <f>(1/(2*LOG(3.7*$I252/'Calculation Constants'!$B$4*1000)))^2</f>
        <v>1.1575055557914658E-2</v>
      </c>
      <c r="AG252" s="19">
        <f t="shared" si="93"/>
        <v>1.6876908272744866</v>
      </c>
      <c r="AH252" s="19">
        <f>IF($H252&gt;0,'Calculation Constants'!$B$9*Hydraulics!$K252^2/2/9.81/MAX($F$4:$F$263)*$H252,"")</f>
        <v>7.5705987075825154E-2</v>
      </c>
      <c r="AI252" s="19">
        <f t="shared" si="103"/>
        <v>1.7633968143503118</v>
      </c>
      <c r="AJ252" s="19">
        <f t="shared" si="94"/>
        <v>0</v>
      </c>
      <c r="AK252" s="19">
        <f t="shared" si="104"/>
        <v>77.87687641327966</v>
      </c>
      <c r="AL252" s="23">
        <f t="shared" si="95"/>
        <v>1005.4878764132797</v>
      </c>
      <c r="AM252" s="22">
        <f>(1/(2*LOG(3.7*($I252-0.008)/'Calculation Constants'!$B$5*1000)))^2</f>
        <v>1.4709705891825043E-2</v>
      </c>
      <c r="AN252" s="19">
        <f t="shared" si="105"/>
        <v>2.1543104841910781</v>
      </c>
      <c r="AO252" s="19">
        <f>IF($H252&gt;0,'Calculation Constants'!$B$9*Hydraulics!$K252^2/2/9.81/MAX($F$4:$F$263)*$H252,"")</f>
        <v>7.5705987075825154E-2</v>
      </c>
      <c r="AP252" s="19">
        <f t="shared" si="106"/>
        <v>2.2300164712669033</v>
      </c>
      <c r="AQ252" s="19">
        <f t="shared" si="96"/>
        <v>0</v>
      </c>
      <c r="AR252" s="19">
        <f t="shared" si="107"/>
        <v>31.104953721082325</v>
      </c>
      <c r="AS252" s="23">
        <f t="shared" si="97"/>
        <v>958.71595372108231</v>
      </c>
    </row>
    <row r="253" spans="5:45">
      <c r="E253" s="35" t="str">
        <f t="shared" si="83"/>
        <v/>
      </c>
      <c r="F253" s="19">
        <f>'Profile data'!A253</f>
        <v>500</v>
      </c>
      <c r="G253" s="19">
        <f>VLOOKUP(F253,'Profile data'!A253:C512,IF($B$22="Botswana 1",2,3))</f>
        <v>931.25599999999997</v>
      </c>
      <c r="H253" s="19">
        <f t="shared" si="108"/>
        <v>2</v>
      </c>
      <c r="I253" s="19">
        <v>1.8</v>
      </c>
      <c r="J253" s="36">
        <f>'Flow Rate Calculations'!$B$7</f>
        <v>4.0831050228310497</v>
      </c>
      <c r="K253" s="36">
        <f t="shared" si="98"/>
        <v>1.6045588828318709</v>
      </c>
      <c r="L253" s="37">
        <f>$I253*$K253/'Calculation Constants'!$B$7</f>
        <v>2555934.503625989</v>
      </c>
      <c r="M253" s="37" t="str">
        <f t="shared" si="84"/>
        <v>Greater Dynamic Pressures</v>
      </c>
      <c r="N253" s="23">
        <f t="shared" si="99"/>
        <v>114.30830678591008</v>
      </c>
      <c r="O253" s="57">
        <f t="shared" si="85"/>
        <v>98.403969526257129</v>
      </c>
      <c r="P253" s="66">
        <f>MAX(I253*1000/'Calculation Constants'!$B$14,O253*10*I253*1000/2/('Calculation Constants'!$B$12*1000*'Calculation Constants'!$B$13))</f>
        <v>11.25</v>
      </c>
      <c r="Q253" s="68">
        <f t="shared" si="86"/>
        <v>992548.40161508287</v>
      </c>
      <c r="R253" s="27">
        <f>(1/(2*LOG(3.7*$I253/'Calculation Constants'!$B$2*1000)))^2</f>
        <v>8.7463077071963571E-3</v>
      </c>
      <c r="S253" s="19">
        <f t="shared" si="100"/>
        <v>1.2752477269849725</v>
      </c>
      <c r="T253" s="19">
        <f>IF($H253&gt;0,'Calculation Constants'!$B$9*Hydraulics!$K253^2/2/9.81/MAX($F$4:$F$263)*$H253,"")</f>
        <v>7.5705987075825154E-2</v>
      </c>
      <c r="U253" s="19">
        <f t="shared" si="101"/>
        <v>1.3509537140607977</v>
      </c>
      <c r="V253" s="19">
        <f t="shared" si="87"/>
        <v>0</v>
      </c>
      <c r="W253" s="19">
        <f t="shared" si="88"/>
        <v>114.30830678591008</v>
      </c>
      <c r="X253" s="23">
        <f t="shared" si="89"/>
        <v>1045.56430678591</v>
      </c>
      <c r="Y253" s="22">
        <f>(1/(2*LOG(3.7*$I253/'Calculation Constants'!$B$3*1000)))^2</f>
        <v>9.8211436332891755E-3</v>
      </c>
      <c r="Z253" s="19">
        <f t="shared" si="90"/>
        <v>1.431963236834217</v>
      </c>
      <c r="AA253" s="19">
        <f>IF($H253&gt;0,'Calculation Constants'!$B$9*Hydraulics!$K253^2/2/9.81/MAX($F$4:$F$263)*$H253,"")</f>
        <v>7.5705987075825154E-2</v>
      </c>
      <c r="AB253" s="19">
        <f t="shared" si="109"/>
        <v>1.5076692239100422</v>
      </c>
      <c r="AC253" s="19">
        <f t="shared" si="91"/>
        <v>0</v>
      </c>
      <c r="AD253" s="19">
        <f t="shared" si="102"/>
        <v>98.403969526257129</v>
      </c>
      <c r="AE253" s="23">
        <f t="shared" si="92"/>
        <v>1029.6599695262571</v>
      </c>
      <c r="AF253" s="27">
        <f>(1/(2*LOG(3.7*$I253/'Calculation Constants'!$B$4*1000)))^2</f>
        <v>1.1575055557914658E-2</v>
      </c>
      <c r="AG253" s="19">
        <f t="shared" si="93"/>
        <v>1.6876908272744866</v>
      </c>
      <c r="AH253" s="19">
        <f>IF($H253&gt;0,'Calculation Constants'!$B$9*Hydraulics!$K253^2/2/9.81/MAX($F$4:$F$263)*$H253,"")</f>
        <v>7.5705987075825154E-2</v>
      </c>
      <c r="AI253" s="19">
        <f t="shared" si="103"/>
        <v>1.7633968143503118</v>
      </c>
      <c r="AJ253" s="19">
        <f t="shared" si="94"/>
        <v>0</v>
      </c>
      <c r="AK253" s="19">
        <f t="shared" si="104"/>
        <v>72.468479598929321</v>
      </c>
      <c r="AL253" s="23">
        <f t="shared" si="95"/>
        <v>1003.7244795989293</v>
      </c>
      <c r="AM253" s="22">
        <f>(1/(2*LOG(3.7*($I253-0.008)/'Calculation Constants'!$B$5*1000)))^2</f>
        <v>1.4709705891825043E-2</v>
      </c>
      <c r="AN253" s="19">
        <f t="shared" si="105"/>
        <v>2.1543104841910781</v>
      </c>
      <c r="AO253" s="19">
        <f>IF($H253&gt;0,'Calculation Constants'!$B$9*Hydraulics!$K253^2/2/9.81/MAX($F$4:$F$263)*$H253,"")</f>
        <v>7.5705987075825154E-2</v>
      </c>
      <c r="AP253" s="19">
        <f t="shared" si="106"/>
        <v>2.2300164712669033</v>
      </c>
      <c r="AQ253" s="19">
        <f t="shared" si="96"/>
        <v>0</v>
      </c>
      <c r="AR253" s="19">
        <f t="shared" si="107"/>
        <v>25.229937249815407</v>
      </c>
      <c r="AS253" s="23">
        <f t="shared" si="97"/>
        <v>956.48593724981538</v>
      </c>
    </row>
    <row r="254" spans="5:45">
      <c r="E254" s="35" t="str">
        <f t="shared" ref="E254:E259" si="110">IF(OR(F254=$B$4,F254=$B$5,F254=$B$6),"Pump Station",IF(OR(F254=$B$11,F254=$B$12,F254=$B$13,F254=$B$14,F254=$B$15),"Reservoir",""))</f>
        <v/>
      </c>
      <c r="F254" s="19">
        <f>'Profile data'!A254</f>
        <v>502</v>
      </c>
      <c r="G254" s="19">
        <f>VLOOKUP(F254,'Profile data'!A254:C513,IF($B$22="Botswana 1",2,3))</f>
        <v>920.04399999999998</v>
      </c>
      <c r="H254" s="19">
        <f t="shared" si="108"/>
        <v>2</v>
      </c>
      <c r="I254" s="19">
        <v>1.8</v>
      </c>
      <c r="J254" s="36">
        <f>'Flow Rate Calculations'!$B$7</f>
        <v>4.0831050228310497</v>
      </c>
      <c r="K254" s="36">
        <f t="shared" si="98"/>
        <v>1.6045588828318709</v>
      </c>
      <c r="L254" s="37">
        <f>$I254*$K254/'Calculation Constants'!$B$7</f>
        <v>2555934.503625989</v>
      </c>
      <c r="M254" s="37" t="str">
        <f t="shared" si="84"/>
        <v>Greater Dynamic Pressures</v>
      </c>
      <c r="N254" s="23">
        <f t="shared" si="99"/>
        <v>124.16935307184929</v>
      </c>
      <c r="O254" s="57">
        <f t="shared" si="85"/>
        <v>108.10830030234717</v>
      </c>
      <c r="P254" s="66">
        <f>MAX(I254*1000/'Calculation Constants'!$B$14,O254*10*I254*1000/2/('Calculation Constants'!$B$12*1000*'Calculation Constants'!$B$13))</f>
        <v>11.25</v>
      </c>
      <c r="Q254" s="68">
        <f t="shared" si="86"/>
        <v>992548.40161508287</v>
      </c>
      <c r="R254" s="27">
        <f>(1/(2*LOG(3.7*$I254/'Calculation Constants'!$B$2*1000)))^2</f>
        <v>8.7463077071963571E-3</v>
      </c>
      <c r="S254" s="19">
        <f t="shared" si="100"/>
        <v>1.2752477269849725</v>
      </c>
      <c r="T254" s="19">
        <f>IF($H254&gt;0,'Calculation Constants'!$B$9*Hydraulics!$K254^2/2/9.81/MAX($F$4:$F$263)*$H254,"")</f>
        <v>7.5705987075825154E-2</v>
      </c>
      <c r="U254" s="19">
        <f t="shared" si="101"/>
        <v>1.3509537140607977</v>
      </c>
      <c r="V254" s="19">
        <f t="shared" si="87"/>
        <v>0</v>
      </c>
      <c r="W254" s="19">
        <f t="shared" si="88"/>
        <v>124.16935307184929</v>
      </c>
      <c r="X254" s="23">
        <f t="shared" si="89"/>
        <v>1044.2133530718493</v>
      </c>
      <c r="Y254" s="22">
        <f>(1/(2*LOG(3.7*$I254/'Calculation Constants'!$B$3*1000)))^2</f>
        <v>9.8211436332891755E-3</v>
      </c>
      <c r="Z254" s="19">
        <f t="shared" si="90"/>
        <v>1.431963236834217</v>
      </c>
      <c r="AA254" s="19">
        <f>IF($H254&gt;0,'Calculation Constants'!$B$9*Hydraulics!$K254^2/2/9.81/MAX($F$4:$F$263)*$H254,"")</f>
        <v>7.5705987075825154E-2</v>
      </c>
      <c r="AB254" s="19">
        <f t="shared" si="109"/>
        <v>1.5076692239100422</v>
      </c>
      <c r="AC254" s="19">
        <f t="shared" si="91"/>
        <v>0</v>
      </c>
      <c r="AD254" s="19">
        <f t="shared" si="102"/>
        <v>108.10830030234717</v>
      </c>
      <c r="AE254" s="23">
        <f t="shared" si="92"/>
        <v>1028.1523003023472</v>
      </c>
      <c r="AF254" s="27">
        <f>(1/(2*LOG(3.7*$I254/'Calculation Constants'!$B$4*1000)))^2</f>
        <v>1.1575055557914658E-2</v>
      </c>
      <c r="AG254" s="19">
        <f t="shared" si="93"/>
        <v>1.6876908272744866</v>
      </c>
      <c r="AH254" s="19">
        <f>IF($H254&gt;0,'Calculation Constants'!$B$9*Hydraulics!$K254^2/2/9.81/MAX($F$4:$F$263)*$H254,"")</f>
        <v>7.5705987075825154E-2</v>
      </c>
      <c r="AI254" s="19">
        <f t="shared" si="103"/>
        <v>1.7633968143503118</v>
      </c>
      <c r="AJ254" s="19">
        <f t="shared" si="94"/>
        <v>0</v>
      </c>
      <c r="AK254" s="19">
        <f t="shared" si="104"/>
        <v>81.917082784578952</v>
      </c>
      <c r="AL254" s="23">
        <f t="shared" si="95"/>
        <v>1001.9610827845789</v>
      </c>
      <c r="AM254" s="22">
        <f>(1/(2*LOG(3.7*($I254-0.008)/'Calculation Constants'!$B$5*1000)))^2</f>
        <v>1.4709705891825043E-2</v>
      </c>
      <c r="AN254" s="19">
        <f t="shared" si="105"/>
        <v>2.1543104841910781</v>
      </c>
      <c r="AO254" s="19">
        <f>IF($H254&gt;0,'Calculation Constants'!$B$9*Hydraulics!$K254^2/2/9.81/MAX($F$4:$F$263)*$H254,"")</f>
        <v>7.5705987075825154E-2</v>
      </c>
      <c r="AP254" s="19">
        <f t="shared" si="106"/>
        <v>2.2300164712669033</v>
      </c>
      <c r="AQ254" s="19">
        <f t="shared" si="96"/>
        <v>0</v>
      </c>
      <c r="AR254" s="19">
        <f t="shared" si="107"/>
        <v>34.21192077854846</v>
      </c>
      <c r="AS254" s="23">
        <f t="shared" si="97"/>
        <v>954.25592077854844</v>
      </c>
    </row>
    <row r="255" spans="5:45">
      <c r="E255" s="35" t="str">
        <f t="shared" si="110"/>
        <v/>
      </c>
      <c r="F255" s="19">
        <f>'Profile data'!A255</f>
        <v>504</v>
      </c>
      <c r="G255" s="19">
        <f>VLOOKUP(F255,'Profile data'!A255:C514,IF($B$22="Botswana 1",2,3))</f>
        <v>911.78</v>
      </c>
      <c r="H255" s="19">
        <f t="shared" si="108"/>
        <v>2</v>
      </c>
      <c r="I255" s="19">
        <v>1.8</v>
      </c>
      <c r="J255" s="36">
        <f>'Flow Rate Calculations'!$B$7</f>
        <v>4.0831050228310497</v>
      </c>
      <c r="K255" s="36">
        <f t="shared" si="98"/>
        <v>1.6045588828318709</v>
      </c>
      <c r="L255" s="37">
        <f>$I255*$K255/'Calculation Constants'!$B$7</f>
        <v>2555934.503625989</v>
      </c>
      <c r="M255" s="37" t="str">
        <f t="shared" si="84"/>
        <v>Greater Dynamic Pressures</v>
      </c>
      <c r="N255" s="23">
        <f t="shared" si="99"/>
        <v>131.08239935778852</v>
      </c>
      <c r="O255" s="57">
        <f t="shared" si="85"/>
        <v>114.86463107843724</v>
      </c>
      <c r="P255" s="66">
        <f>MAX(I255*1000/'Calculation Constants'!$B$14,O255*10*I255*1000/2/('Calculation Constants'!$B$12*1000*'Calculation Constants'!$B$13))</f>
        <v>11.25</v>
      </c>
      <c r="Q255" s="68">
        <f t="shared" si="86"/>
        <v>992548.40161508287</v>
      </c>
      <c r="R255" s="27">
        <f>(1/(2*LOG(3.7*$I255/'Calculation Constants'!$B$2*1000)))^2</f>
        <v>8.7463077071963571E-3</v>
      </c>
      <c r="S255" s="19">
        <f t="shared" si="100"/>
        <v>1.2752477269849725</v>
      </c>
      <c r="T255" s="19">
        <f>IF($H255&gt;0,'Calculation Constants'!$B$9*Hydraulics!$K255^2/2/9.81/MAX($F$4:$F$263)*$H255,"")</f>
        <v>7.5705987075825154E-2</v>
      </c>
      <c r="U255" s="19">
        <f t="shared" si="101"/>
        <v>1.3509537140607977</v>
      </c>
      <c r="V255" s="19">
        <f t="shared" si="87"/>
        <v>0</v>
      </c>
      <c r="W255" s="19">
        <f t="shared" si="88"/>
        <v>131.08239935778852</v>
      </c>
      <c r="X255" s="23">
        <f t="shared" si="89"/>
        <v>1042.8623993577885</v>
      </c>
      <c r="Y255" s="22">
        <f>(1/(2*LOG(3.7*$I255/'Calculation Constants'!$B$3*1000)))^2</f>
        <v>9.8211436332891755E-3</v>
      </c>
      <c r="Z255" s="19">
        <f t="shared" si="90"/>
        <v>1.431963236834217</v>
      </c>
      <c r="AA255" s="19">
        <f>IF($H255&gt;0,'Calculation Constants'!$B$9*Hydraulics!$K255^2/2/9.81/MAX($F$4:$F$263)*$H255,"")</f>
        <v>7.5705987075825154E-2</v>
      </c>
      <c r="AB255" s="19">
        <f t="shared" si="109"/>
        <v>1.5076692239100422</v>
      </c>
      <c r="AC255" s="19">
        <f t="shared" si="91"/>
        <v>0</v>
      </c>
      <c r="AD255" s="19">
        <f t="shared" si="102"/>
        <v>114.86463107843724</v>
      </c>
      <c r="AE255" s="23">
        <f t="shared" si="92"/>
        <v>1026.6446310784372</v>
      </c>
      <c r="AF255" s="27">
        <f>(1/(2*LOG(3.7*$I255/'Calculation Constants'!$B$4*1000)))^2</f>
        <v>1.1575055557914658E-2</v>
      </c>
      <c r="AG255" s="19">
        <f t="shared" si="93"/>
        <v>1.6876908272744866</v>
      </c>
      <c r="AH255" s="19">
        <f>IF($H255&gt;0,'Calculation Constants'!$B$9*Hydraulics!$K255^2/2/9.81/MAX($F$4:$F$263)*$H255,"")</f>
        <v>7.5705987075825154E-2</v>
      </c>
      <c r="AI255" s="19">
        <f t="shared" si="103"/>
        <v>1.7633968143503118</v>
      </c>
      <c r="AJ255" s="19">
        <f t="shared" si="94"/>
        <v>0</v>
      </c>
      <c r="AK255" s="19">
        <f t="shared" si="104"/>
        <v>88.417685970228604</v>
      </c>
      <c r="AL255" s="23">
        <f t="shared" si="95"/>
        <v>1000.1976859702286</v>
      </c>
      <c r="AM255" s="22">
        <f>(1/(2*LOG(3.7*($I255-0.008)/'Calculation Constants'!$B$5*1000)))^2</f>
        <v>1.4709705891825043E-2</v>
      </c>
      <c r="AN255" s="19">
        <f t="shared" si="105"/>
        <v>2.1543104841910781</v>
      </c>
      <c r="AO255" s="19">
        <f>IF($H255&gt;0,'Calculation Constants'!$B$9*Hydraulics!$K255^2/2/9.81/MAX($F$4:$F$263)*$H255,"")</f>
        <v>7.5705987075825154E-2</v>
      </c>
      <c r="AP255" s="19">
        <f t="shared" si="106"/>
        <v>2.2300164712669033</v>
      </c>
      <c r="AQ255" s="19">
        <f t="shared" si="96"/>
        <v>0</v>
      </c>
      <c r="AR255" s="19">
        <f t="shared" si="107"/>
        <v>40.245904307281535</v>
      </c>
      <c r="AS255" s="23">
        <f t="shared" si="97"/>
        <v>952.02590430728151</v>
      </c>
    </row>
    <row r="256" spans="5:45">
      <c r="E256" s="35" t="str">
        <f t="shared" si="110"/>
        <v/>
      </c>
      <c r="F256" s="19">
        <f>'Profile data'!A256</f>
        <v>506</v>
      </c>
      <c r="G256" s="19">
        <f>VLOOKUP(F256,'Profile data'!A256:C515,IF($B$22="Botswana 1",2,3))</f>
        <v>907.98900000000003</v>
      </c>
      <c r="H256" s="19">
        <f t="shared" si="108"/>
        <v>2</v>
      </c>
      <c r="I256" s="19">
        <v>1.8</v>
      </c>
      <c r="J256" s="36">
        <f>'Flow Rate Calculations'!$B$7</f>
        <v>4.0831050228310497</v>
      </c>
      <c r="K256" s="36">
        <f t="shared" si="98"/>
        <v>1.6045588828318709</v>
      </c>
      <c r="L256" s="37">
        <f>$I256*$K256/'Calculation Constants'!$B$7</f>
        <v>2555934.503625989</v>
      </c>
      <c r="M256" s="37" t="str">
        <f t="shared" si="84"/>
        <v>Greater Dynamic Pressures</v>
      </c>
      <c r="N256" s="23">
        <f t="shared" si="99"/>
        <v>133.52244564372768</v>
      </c>
      <c r="O256" s="57">
        <f t="shared" si="85"/>
        <v>117.14796185452724</v>
      </c>
      <c r="P256" s="66">
        <f>MAX(I256*1000/'Calculation Constants'!$B$14,O256*10*I256*1000/2/('Calculation Constants'!$B$12*1000*'Calculation Constants'!$B$13))</f>
        <v>11.25</v>
      </c>
      <c r="Q256" s="68">
        <f t="shared" si="86"/>
        <v>992548.40161508287</v>
      </c>
      <c r="R256" s="27">
        <f>(1/(2*LOG(3.7*$I256/'Calculation Constants'!$B$2*1000)))^2</f>
        <v>8.7463077071963571E-3</v>
      </c>
      <c r="S256" s="19">
        <f t="shared" si="100"/>
        <v>1.2752477269849725</v>
      </c>
      <c r="T256" s="19">
        <f>IF($H256&gt;0,'Calculation Constants'!$B$9*Hydraulics!$K256^2/2/9.81/MAX($F$4:$F$263)*$H256,"")</f>
        <v>7.5705987075825154E-2</v>
      </c>
      <c r="U256" s="19">
        <f t="shared" si="101"/>
        <v>1.3509537140607977</v>
      </c>
      <c r="V256" s="19">
        <f t="shared" si="87"/>
        <v>0</v>
      </c>
      <c r="W256" s="19">
        <f t="shared" si="88"/>
        <v>133.52244564372768</v>
      </c>
      <c r="X256" s="23">
        <f t="shared" si="89"/>
        <v>1041.5114456437277</v>
      </c>
      <c r="Y256" s="22">
        <f>(1/(2*LOG(3.7*$I256/'Calculation Constants'!$B$3*1000)))^2</f>
        <v>9.8211436332891755E-3</v>
      </c>
      <c r="Z256" s="19">
        <f t="shared" si="90"/>
        <v>1.431963236834217</v>
      </c>
      <c r="AA256" s="19">
        <f>IF($H256&gt;0,'Calculation Constants'!$B$9*Hydraulics!$K256^2/2/9.81/MAX($F$4:$F$263)*$H256,"")</f>
        <v>7.5705987075825154E-2</v>
      </c>
      <c r="AB256" s="19">
        <f t="shared" si="109"/>
        <v>1.5076692239100422</v>
      </c>
      <c r="AC256" s="19">
        <f t="shared" si="91"/>
        <v>0</v>
      </c>
      <c r="AD256" s="19">
        <f t="shared" si="102"/>
        <v>117.14796185452724</v>
      </c>
      <c r="AE256" s="23">
        <f t="shared" si="92"/>
        <v>1025.1369618545273</v>
      </c>
      <c r="AF256" s="27">
        <f>(1/(2*LOG(3.7*$I256/'Calculation Constants'!$B$4*1000)))^2</f>
        <v>1.1575055557914658E-2</v>
      </c>
      <c r="AG256" s="19">
        <f t="shared" si="93"/>
        <v>1.6876908272744866</v>
      </c>
      <c r="AH256" s="19">
        <f>IF($H256&gt;0,'Calculation Constants'!$B$9*Hydraulics!$K256^2/2/9.81/MAX($F$4:$F$263)*$H256,"")</f>
        <v>7.5705987075825154E-2</v>
      </c>
      <c r="AI256" s="19">
        <f t="shared" si="103"/>
        <v>1.7633968143503118</v>
      </c>
      <c r="AJ256" s="19">
        <f t="shared" si="94"/>
        <v>0</v>
      </c>
      <c r="AK256" s="19">
        <f t="shared" si="104"/>
        <v>90.445289155878186</v>
      </c>
      <c r="AL256" s="23">
        <f t="shared" si="95"/>
        <v>998.43428915587822</v>
      </c>
      <c r="AM256" s="22">
        <f>(1/(2*LOG(3.7*($I256-0.008)/'Calculation Constants'!$B$5*1000)))^2</f>
        <v>1.4709705891825043E-2</v>
      </c>
      <c r="AN256" s="19">
        <f t="shared" si="105"/>
        <v>2.1543104841910781</v>
      </c>
      <c r="AO256" s="19">
        <f>IF($H256&gt;0,'Calculation Constants'!$B$9*Hydraulics!$K256^2/2/9.81/MAX($F$4:$F$263)*$H256,"")</f>
        <v>7.5705987075825154E-2</v>
      </c>
      <c r="AP256" s="19">
        <f t="shared" si="106"/>
        <v>2.2300164712669033</v>
      </c>
      <c r="AQ256" s="19">
        <f t="shared" si="96"/>
        <v>0</v>
      </c>
      <c r="AR256" s="19">
        <f t="shared" si="107"/>
        <v>41.806887836014539</v>
      </c>
      <c r="AS256" s="23">
        <f t="shared" si="97"/>
        <v>949.79588783601457</v>
      </c>
    </row>
    <row r="257" spans="5:45">
      <c r="E257" s="35" t="str">
        <f t="shared" si="110"/>
        <v/>
      </c>
      <c r="F257" s="19">
        <f>'Profile data'!A257</f>
        <v>508</v>
      </c>
      <c r="G257" s="19">
        <f>VLOOKUP(F257,'Profile data'!A257:C516,IF($B$22="Botswana 1",2,3))</f>
        <v>907.28899999999999</v>
      </c>
      <c r="H257" s="19">
        <f t="shared" si="108"/>
        <v>2</v>
      </c>
      <c r="I257" s="19">
        <v>1.5</v>
      </c>
      <c r="J257" s="36">
        <f>'Flow Rate Calculations'!$B$7</f>
        <v>4.0831050228310497</v>
      </c>
      <c r="K257" s="36">
        <f t="shared" si="98"/>
        <v>2.3105647912778942</v>
      </c>
      <c r="L257" s="37">
        <f>$I257*$K257/'Calculation Constants'!$B$7</f>
        <v>3067121.4043511869</v>
      </c>
      <c r="M257" s="37" t="str">
        <f t="shared" si="84"/>
        <v>Greater Dynamic Pressures</v>
      </c>
      <c r="N257" s="23">
        <f t="shared" si="99"/>
        <v>130.79611417816841</v>
      </c>
      <c r="O257" s="57">
        <f t="shared" si="85"/>
        <v>114.01326500781636</v>
      </c>
      <c r="P257" s="66">
        <f>MAX(I257*1000/'Calculation Constants'!$B$14,O257*10*I257*1000/2/('Calculation Constants'!$B$12*1000*'Calculation Constants'!$B$13))</f>
        <v>9.375</v>
      </c>
      <c r="Q257" s="68">
        <f t="shared" si="86"/>
        <v>689269.72334380972</v>
      </c>
      <c r="R257" s="27">
        <f>(1/(2*LOG(3.7*$I257/'Calculation Constants'!$B$2*1000)))^2</f>
        <v>9.0112502883211744E-3</v>
      </c>
      <c r="S257" s="19">
        <f t="shared" si="100"/>
        <v>3.2693475307588078</v>
      </c>
      <c r="T257" s="19">
        <f>IF($H257&gt;0,'Calculation Constants'!$B$9*Hydraulics!$K257^2/2/9.81/MAX($F$4:$F$263)*$H257,"")</f>
        <v>0.15698393480043102</v>
      </c>
      <c r="U257" s="19">
        <f t="shared" si="101"/>
        <v>3.426331465559239</v>
      </c>
      <c r="V257" s="19">
        <f t="shared" si="87"/>
        <v>0</v>
      </c>
      <c r="W257" s="19">
        <f t="shared" si="88"/>
        <v>130.79611417816841</v>
      </c>
      <c r="X257" s="23">
        <f t="shared" si="89"/>
        <v>1038.0851141781684</v>
      </c>
      <c r="Y257" s="22">
        <f>(1/(2*LOG(3.7*$I257/'Calculation Constants'!$B$3*1000)))^2</f>
        <v>1.0136821254400123E-2</v>
      </c>
      <c r="Z257" s="19">
        <f t="shared" si="90"/>
        <v>3.6777129119105498</v>
      </c>
      <c r="AA257" s="19">
        <f>IF($H257&gt;0,'Calculation Constants'!$B$9*Hydraulics!$K257^2/2/9.81/MAX($F$4:$F$263)*$H257,"")</f>
        <v>0.15698393480043102</v>
      </c>
      <c r="AB257" s="19">
        <f t="shared" si="109"/>
        <v>3.834696846710981</v>
      </c>
      <c r="AC257" s="19">
        <f t="shared" si="91"/>
        <v>0</v>
      </c>
      <c r="AD257" s="19">
        <f t="shared" si="102"/>
        <v>114.01326500781636</v>
      </c>
      <c r="AE257" s="23">
        <f t="shared" si="92"/>
        <v>1021.3022650078163</v>
      </c>
      <c r="AF257" s="27">
        <f>(1/(2*LOG(3.7*$I257/'Calculation Constants'!$B$4*1000)))^2</f>
        <v>1.1979797083255311E-2</v>
      </c>
      <c r="AG257" s="19">
        <f t="shared" si="93"/>
        <v>4.3463580257994474</v>
      </c>
      <c r="AH257" s="19">
        <f>IF($H257&gt;0,'Calculation Constants'!$B$9*Hydraulics!$K257^2/2/9.81/MAX($F$4:$F$263)*$H257,"")</f>
        <v>0.15698393480043102</v>
      </c>
      <c r="AI257" s="19">
        <f t="shared" si="103"/>
        <v>4.5033419605998786</v>
      </c>
      <c r="AJ257" s="19">
        <f t="shared" si="94"/>
        <v>0</v>
      </c>
      <c r="AK257" s="19">
        <f t="shared" si="104"/>
        <v>86.641947195278362</v>
      </c>
      <c r="AL257" s="23">
        <f t="shared" si="95"/>
        <v>993.93094719527835</v>
      </c>
      <c r="AM257" s="22">
        <f>(1/(2*LOG(3.7*($I257-0.008)/'Calculation Constants'!$B$5*1000)))^2</f>
        <v>1.5294398771411635E-2</v>
      </c>
      <c r="AN257" s="19">
        <f t="shared" si="105"/>
        <v>5.5786726888400349</v>
      </c>
      <c r="AO257" s="19">
        <f>IF($H257&gt;0,'Calculation Constants'!$B$9*Hydraulics!$K257^2/2/9.81/MAX($F$4:$F$263)*$H257,"")</f>
        <v>0.15698393480043102</v>
      </c>
      <c r="AP257" s="19">
        <f t="shared" si="106"/>
        <v>5.735656623640466</v>
      </c>
      <c r="AQ257" s="19">
        <f t="shared" si="96"/>
        <v>0</v>
      </c>
      <c r="AR257" s="19">
        <f t="shared" si="107"/>
        <v>36.771231212374119</v>
      </c>
      <c r="AS257" s="23">
        <f t="shared" si="97"/>
        <v>944.06023121237411</v>
      </c>
    </row>
    <row r="258" spans="5:45">
      <c r="E258" s="35" t="str">
        <f t="shared" si="110"/>
        <v/>
      </c>
      <c r="F258" s="19">
        <f>'Profile data'!A258</f>
        <v>510</v>
      </c>
      <c r="G258" s="19">
        <f>VLOOKUP(F258,'Profile data'!A258:C517,IF($B$22="Botswana 1",2,3))</f>
        <v>900.577</v>
      </c>
      <c r="H258" s="19">
        <f t="shared" si="108"/>
        <v>2</v>
      </c>
      <c r="I258" s="19">
        <v>1.5</v>
      </c>
      <c r="J258" s="36">
        <f>'Flow Rate Calculations'!$B$7</f>
        <v>4.0831050228310497</v>
      </c>
      <c r="K258" s="36">
        <f t="shared" si="98"/>
        <v>2.3105647912778942</v>
      </c>
      <c r="L258" s="37">
        <f>$I258*$K258/'Calculation Constants'!$B$7</f>
        <v>3067121.4043511869</v>
      </c>
      <c r="M258" s="37" t="str">
        <f t="shared" si="84"/>
        <v>Greater Dynamic Pressures</v>
      </c>
      <c r="N258" s="23">
        <f t="shared" si="99"/>
        <v>134.08178271260908</v>
      </c>
      <c r="O258" s="57">
        <f t="shared" si="85"/>
        <v>116.89056816110542</v>
      </c>
      <c r="P258" s="66">
        <f>MAX(I258*1000/'Calculation Constants'!$B$14,O258*10*I258*1000/2/('Calculation Constants'!$B$12*1000*'Calculation Constants'!$B$13))</f>
        <v>9.375</v>
      </c>
      <c r="Q258" s="68">
        <f t="shared" si="86"/>
        <v>689269.72334380972</v>
      </c>
      <c r="R258" s="27">
        <f>(1/(2*LOG(3.7*$I258/'Calculation Constants'!$B$2*1000)))^2</f>
        <v>9.0112502883211744E-3</v>
      </c>
      <c r="S258" s="19">
        <f t="shared" si="100"/>
        <v>3.2693475307588078</v>
      </c>
      <c r="T258" s="19">
        <f>IF($H258&gt;0,'Calculation Constants'!$B$9*Hydraulics!$K258^2/2/9.81/MAX($F$4:$F$263)*$H258,"")</f>
        <v>0.15698393480043102</v>
      </c>
      <c r="U258" s="19">
        <f t="shared" si="101"/>
        <v>3.426331465559239</v>
      </c>
      <c r="V258" s="19">
        <f t="shared" si="87"/>
        <v>0</v>
      </c>
      <c r="W258" s="19">
        <f t="shared" si="88"/>
        <v>134.08178271260908</v>
      </c>
      <c r="X258" s="23">
        <f t="shared" si="89"/>
        <v>1034.6587827126091</v>
      </c>
      <c r="Y258" s="22">
        <f>(1/(2*LOG(3.7*$I258/'Calculation Constants'!$B$3*1000)))^2</f>
        <v>1.0136821254400123E-2</v>
      </c>
      <c r="Z258" s="19">
        <f t="shared" si="90"/>
        <v>3.6777129119105498</v>
      </c>
      <c r="AA258" s="19">
        <f>IF($H258&gt;0,'Calculation Constants'!$B$9*Hydraulics!$K258^2/2/9.81/MAX($F$4:$F$263)*$H258,"")</f>
        <v>0.15698393480043102</v>
      </c>
      <c r="AB258" s="19">
        <f t="shared" si="109"/>
        <v>3.834696846710981</v>
      </c>
      <c r="AC258" s="19">
        <f t="shared" si="91"/>
        <v>0</v>
      </c>
      <c r="AD258" s="19">
        <f t="shared" si="102"/>
        <v>116.89056816110542</v>
      </c>
      <c r="AE258" s="23">
        <f t="shared" si="92"/>
        <v>1017.4675681611054</v>
      </c>
      <c r="AF258" s="27">
        <f>(1/(2*LOG(3.7*$I258/'Calculation Constants'!$B$4*1000)))^2</f>
        <v>1.1979797083255311E-2</v>
      </c>
      <c r="AG258" s="19">
        <f t="shared" si="93"/>
        <v>4.3463580257994474</v>
      </c>
      <c r="AH258" s="19">
        <f>IF($H258&gt;0,'Calculation Constants'!$B$9*Hydraulics!$K258^2/2/9.81/MAX($F$4:$F$263)*$H258,"")</f>
        <v>0.15698393480043102</v>
      </c>
      <c r="AI258" s="19">
        <f t="shared" si="103"/>
        <v>4.5033419605998786</v>
      </c>
      <c r="AJ258" s="19">
        <f t="shared" si="94"/>
        <v>0</v>
      </c>
      <c r="AK258" s="19">
        <f t="shared" si="104"/>
        <v>88.850605234678483</v>
      </c>
      <c r="AL258" s="23">
        <f t="shared" si="95"/>
        <v>989.42760523467848</v>
      </c>
      <c r="AM258" s="22">
        <f>(1/(2*LOG(3.7*($I258-0.008)/'Calculation Constants'!$B$5*1000)))^2</f>
        <v>1.5294398771411635E-2</v>
      </c>
      <c r="AN258" s="19">
        <f t="shared" si="105"/>
        <v>5.5786726888400349</v>
      </c>
      <c r="AO258" s="19">
        <f>IF($H258&gt;0,'Calculation Constants'!$B$9*Hydraulics!$K258^2/2/9.81/MAX($F$4:$F$263)*$H258,"")</f>
        <v>0.15698393480043102</v>
      </c>
      <c r="AP258" s="19">
        <f t="shared" si="106"/>
        <v>5.735656623640466</v>
      </c>
      <c r="AQ258" s="19">
        <f t="shared" si="96"/>
        <v>0</v>
      </c>
      <c r="AR258" s="19">
        <f t="shared" si="107"/>
        <v>37.747574588733642</v>
      </c>
      <c r="AS258" s="23">
        <f t="shared" si="97"/>
        <v>938.32457458873364</v>
      </c>
    </row>
    <row r="259" spans="5:45">
      <c r="E259" s="35" t="str">
        <f t="shared" si="110"/>
        <v/>
      </c>
      <c r="F259" s="19">
        <f>'Profile data'!A259</f>
        <v>512</v>
      </c>
      <c r="G259" s="19">
        <f>VLOOKUP(F259,'Profile data'!A259:C518,IF($B$22="Botswana 1",2,3))</f>
        <v>902.11199999999997</v>
      </c>
      <c r="H259" s="19">
        <f t="shared" si="108"/>
        <v>2</v>
      </c>
      <c r="I259" s="19">
        <v>1.5</v>
      </c>
      <c r="J259" s="36">
        <f>'Flow Rate Calculations'!$B$7</f>
        <v>4.0831050228310497</v>
      </c>
      <c r="K259" s="36">
        <f t="shared" si="98"/>
        <v>2.3105647912778942</v>
      </c>
      <c r="L259" s="37">
        <f>$I259*$K259/'Calculation Constants'!$B$7</f>
        <v>3067121.4043511869</v>
      </c>
      <c r="M259" s="37" t="str">
        <f t="shared" si="84"/>
        <v>Greater Dynamic Pressures</v>
      </c>
      <c r="N259" s="23">
        <f t="shared" si="99"/>
        <v>129.1204512470498</v>
      </c>
      <c r="O259" s="57">
        <f t="shared" si="85"/>
        <v>111.52087131439453</v>
      </c>
      <c r="P259" s="66">
        <f>MAX(I259*1000/'Calculation Constants'!$B$14,O259*10*I259*1000/2/('Calculation Constants'!$B$12*1000*'Calculation Constants'!$B$13))</f>
        <v>9.375</v>
      </c>
      <c r="Q259" s="68">
        <f t="shared" si="86"/>
        <v>689269.72334380972</v>
      </c>
      <c r="R259" s="27">
        <f>(1/(2*LOG(3.7*$I259/'Calculation Constants'!$B$2*1000)))^2</f>
        <v>9.0112502883211744E-3</v>
      </c>
      <c r="S259" s="19">
        <f t="shared" si="100"/>
        <v>3.2693475307588078</v>
      </c>
      <c r="T259" s="19">
        <f>IF($H259&gt;0,'Calculation Constants'!$B$9*Hydraulics!$K259^2/2/9.81/MAX($F$4:$F$263)*$H259,"")</f>
        <v>0.15698393480043102</v>
      </c>
      <c r="U259" s="19">
        <f t="shared" si="101"/>
        <v>3.426331465559239</v>
      </c>
      <c r="V259" s="19">
        <f t="shared" si="87"/>
        <v>0</v>
      </c>
      <c r="W259" s="19">
        <f t="shared" si="88"/>
        <v>129.1204512470498</v>
      </c>
      <c r="X259" s="23">
        <f t="shared" si="89"/>
        <v>1031.2324512470498</v>
      </c>
      <c r="Y259" s="22">
        <f>(1/(2*LOG(3.7*$I259/'Calculation Constants'!$B$3*1000)))^2</f>
        <v>1.0136821254400123E-2</v>
      </c>
      <c r="Z259" s="19">
        <f t="shared" si="90"/>
        <v>3.6777129119105498</v>
      </c>
      <c r="AA259" s="19">
        <f>IF($H259&gt;0,'Calculation Constants'!$B$9*Hydraulics!$K259^2/2/9.81/MAX($F$4:$F$263)*$H259,"")</f>
        <v>0.15698393480043102</v>
      </c>
      <c r="AB259" s="19">
        <f t="shared" si="109"/>
        <v>3.834696846710981</v>
      </c>
      <c r="AC259" s="19">
        <f t="shared" si="91"/>
        <v>0</v>
      </c>
      <c r="AD259" s="19">
        <f t="shared" si="102"/>
        <v>111.52087131439453</v>
      </c>
      <c r="AE259" s="23">
        <f t="shared" si="92"/>
        <v>1013.6328713143945</v>
      </c>
      <c r="AF259" s="27">
        <f>(1/(2*LOG(3.7*$I259/'Calculation Constants'!$B$4*1000)))^2</f>
        <v>1.1979797083255311E-2</v>
      </c>
      <c r="AG259" s="19">
        <f t="shared" si="93"/>
        <v>4.3463580257994474</v>
      </c>
      <c r="AH259" s="19">
        <f>IF($H259&gt;0,'Calculation Constants'!$B$9*Hydraulics!$K259^2/2/9.81/MAX($F$4:$F$263)*$H259,"")</f>
        <v>0.15698393480043102</v>
      </c>
      <c r="AI259" s="19">
        <f t="shared" si="103"/>
        <v>4.5033419605998786</v>
      </c>
      <c r="AJ259" s="19">
        <f t="shared" si="94"/>
        <v>0</v>
      </c>
      <c r="AK259" s="19">
        <f t="shared" si="104"/>
        <v>82.812263274078646</v>
      </c>
      <c r="AL259" s="23">
        <f t="shared" si="95"/>
        <v>984.92426327407861</v>
      </c>
      <c r="AM259" s="22">
        <f>(1/(2*LOG(3.7*($I259-0.008)/'Calculation Constants'!$B$5*1000)))^2</f>
        <v>1.5294398771411635E-2</v>
      </c>
      <c r="AN259" s="19">
        <f t="shared" si="105"/>
        <v>5.5786726888400349</v>
      </c>
      <c r="AO259" s="19">
        <f>IF($H259&gt;0,'Calculation Constants'!$B$9*Hydraulics!$K259^2/2/9.81/MAX($F$4:$F$263)*$H259,"")</f>
        <v>0.15698393480043102</v>
      </c>
      <c r="AP259" s="19">
        <f t="shared" si="106"/>
        <v>5.735656623640466</v>
      </c>
      <c r="AQ259" s="19">
        <f t="shared" si="96"/>
        <v>0</v>
      </c>
      <c r="AR259" s="19">
        <f t="shared" si="107"/>
        <v>30.476917965093207</v>
      </c>
      <c r="AS259" s="23">
        <f t="shared" si="97"/>
        <v>932.58891796509317</v>
      </c>
    </row>
    <row r="260" spans="5:45">
      <c r="E260" s="35" t="str">
        <f t="shared" ref="E260:E263" si="111">IF(OR(F260=$B$4,F260=$B$5,F260=$B$6),"Pump Station",IF(OR(F260=$B$11,F260=$B$12,F260=$B$13,F260=$B$14,F260=$B$15),"Reservoir",""))</f>
        <v/>
      </c>
      <c r="F260" s="19">
        <f>'Profile data'!A260</f>
        <v>514</v>
      </c>
      <c r="G260" s="19">
        <f>VLOOKUP(F260,'Profile data'!A260:C519,IF($B$22="Botswana 1",2,3))</f>
        <v>900.17899999999997</v>
      </c>
      <c r="H260" s="19">
        <f t="shared" si="108"/>
        <v>2</v>
      </c>
      <c r="I260" s="19">
        <v>1.5</v>
      </c>
      <c r="J260" s="36">
        <f>'Flow Rate Calculations'!$B$7</f>
        <v>4.0831050228310497</v>
      </c>
      <c r="K260" s="36">
        <f t="shared" si="98"/>
        <v>2.3105647912778942</v>
      </c>
      <c r="L260" s="37">
        <f>$I260*$K260/'Calculation Constants'!$B$7</f>
        <v>3067121.4043511869</v>
      </c>
      <c r="M260" s="37" t="str">
        <f t="shared" si="84"/>
        <v>Greater Dynamic Pressures</v>
      </c>
      <c r="N260" s="23">
        <f t="shared" si="99"/>
        <v>127.62711978149048</v>
      </c>
      <c r="O260" s="57">
        <f t="shared" si="85"/>
        <v>109.61917446768359</v>
      </c>
      <c r="P260" s="66">
        <f>MAX(I260*1000/'Calculation Constants'!$B$14,O260*10*I260*1000/2/('Calculation Constants'!$B$12*1000*'Calculation Constants'!$B$13))</f>
        <v>9.375</v>
      </c>
      <c r="Q260" s="68">
        <f t="shared" ref="Q260:Q263" si="112">(I260^2*PI()/4-(I260-P260/1000*2)^2*PI()/4)*H260*1000*7850</f>
        <v>689269.72334380972</v>
      </c>
      <c r="R260" s="27">
        <f>(1/(2*LOG(3.7*$I260/'Calculation Constants'!$B$2*1000)))^2</f>
        <v>9.0112502883211744E-3</v>
      </c>
      <c r="S260" s="19">
        <f t="shared" si="100"/>
        <v>3.2693475307588078</v>
      </c>
      <c r="T260" s="19">
        <f>IF($H260&gt;0,'Calculation Constants'!$B$9*Hydraulics!$K260^2/2/9.81/MAX($F$4:$F$263)*$H260,"")</f>
        <v>0.15698393480043102</v>
      </c>
      <c r="U260" s="19">
        <f t="shared" si="101"/>
        <v>3.426331465559239</v>
      </c>
      <c r="V260" s="19">
        <f t="shared" si="87"/>
        <v>0</v>
      </c>
      <c r="W260" s="19">
        <f t="shared" ref="W260:W263" si="113">IF(E260="Reservoir",VLOOKUP(F260,$B$11:$D$15,2)-G260,X260-$G260)</f>
        <v>127.62711978149048</v>
      </c>
      <c r="X260" s="23">
        <f t="shared" si="89"/>
        <v>1027.8061197814905</v>
      </c>
      <c r="Y260" s="22">
        <f>(1/(2*LOG(3.7*$I260/'Calculation Constants'!$B$3*1000)))^2</f>
        <v>1.0136821254400123E-2</v>
      </c>
      <c r="Z260" s="19">
        <f t="shared" ref="Z260:Z263" si="114">IF($H260&gt;0,Y260*$H260*$K260^2/2/9.81/$I260*1000,"")</f>
        <v>3.6777129119105498</v>
      </c>
      <c r="AA260" s="19">
        <f>IF($H260&gt;0,'Calculation Constants'!$B$9*Hydraulics!$K260^2/2/9.81/MAX($F$4:$F$263)*$H260,"")</f>
        <v>0.15698393480043102</v>
      </c>
      <c r="AB260" s="19">
        <f t="shared" si="109"/>
        <v>3.834696846710981</v>
      </c>
      <c r="AC260" s="19">
        <f t="shared" si="91"/>
        <v>0</v>
      </c>
      <c r="AD260" s="19">
        <f t="shared" si="102"/>
        <v>109.61917446768359</v>
      </c>
      <c r="AE260" s="23">
        <f t="shared" si="92"/>
        <v>1009.7981744676836</v>
      </c>
      <c r="AF260" s="27">
        <f>(1/(2*LOG(3.7*$I260/'Calculation Constants'!$B$4*1000)))^2</f>
        <v>1.1979797083255311E-2</v>
      </c>
      <c r="AG260" s="19">
        <f t="shared" ref="AG260:AG263" si="115">IF($H260&gt;0,AF260*$H260*$K260^2/2/9.81/$I260*1000,"")</f>
        <v>4.3463580257994474</v>
      </c>
      <c r="AH260" s="19">
        <f>IF($H260&gt;0,'Calculation Constants'!$B$9*Hydraulics!$K260^2/2/9.81/MAX($F$4:$F$263)*$H260,"")</f>
        <v>0.15698393480043102</v>
      </c>
      <c r="AI260" s="19">
        <f t="shared" si="103"/>
        <v>4.5033419605998786</v>
      </c>
      <c r="AJ260" s="19">
        <f t="shared" si="94"/>
        <v>0</v>
      </c>
      <c r="AK260" s="19">
        <f t="shared" si="104"/>
        <v>80.24192131347877</v>
      </c>
      <c r="AL260" s="23">
        <f t="shared" si="95"/>
        <v>980.42092131347874</v>
      </c>
      <c r="AM260" s="22">
        <f>(1/(2*LOG(3.7*($I260-0.008)/'Calculation Constants'!$B$5*1000)))^2</f>
        <v>1.5294398771411635E-2</v>
      </c>
      <c r="AN260" s="19">
        <f t="shared" si="105"/>
        <v>5.5786726888400349</v>
      </c>
      <c r="AO260" s="19">
        <f>IF($H260&gt;0,'Calculation Constants'!$B$9*Hydraulics!$K260^2/2/9.81/MAX($F$4:$F$263)*$H260,"")</f>
        <v>0.15698393480043102</v>
      </c>
      <c r="AP260" s="19">
        <f t="shared" si="106"/>
        <v>5.735656623640466</v>
      </c>
      <c r="AQ260" s="19">
        <f t="shared" si="96"/>
        <v>0</v>
      </c>
      <c r="AR260" s="19">
        <f t="shared" si="107"/>
        <v>26.674261341452734</v>
      </c>
      <c r="AS260" s="23">
        <f t="shared" si="97"/>
        <v>926.85326134145271</v>
      </c>
    </row>
    <row r="261" spans="5:45">
      <c r="E261" s="35" t="str">
        <f t="shared" si="111"/>
        <v/>
      </c>
      <c r="F261" s="19">
        <f>'Profile data'!A261</f>
        <v>516</v>
      </c>
      <c r="G261" s="19">
        <f>VLOOKUP(F261,'Profile data'!A261:C520,IF($B$22="Botswana 1",2,3))</f>
        <v>903.81100000000004</v>
      </c>
      <c r="H261" s="19">
        <f t="shared" si="108"/>
        <v>2</v>
      </c>
      <c r="I261" s="19">
        <v>1.5</v>
      </c>
      <c r="J261" s="36">
        <f>'Flow Rate Calculations'!$B$7</f>
        <v>4.0831050228310497</v>
      </c>
      <c r="K261" s="36">
        <f t="shared" ref="K261:K263" si="116">J261/I261^2/PI()*4</f>
        <v>2.3105647912778942</v>
      </c>
      <c r="L261" s="37">
        <f>$I261*$K261/'Calculation Constants'!$B$7</f>
        <v>3067121.4043511869</v>
      </c>
      <c r="M261" s="37" t="str">
        <f t="shared" si="84"/>
        <v>Greater Dynamic Pressures</v>
      </c>
      <c r="N261" s="23">
        <f t="shared" ref="N261:N263" si="117">W261</f>
        <v>120.5687883159311</v>
      </c>
      <c r="O261" s="57">
        <f t="shared" si="85"/>
        <v>102.1524776209726</v>
      </c>
      <c r="P261" s="66">
        <f>MAX(I261*1000/'Calculation Constants'!$B$14,O261*10*I261*1000/2/('Calculation Constants'!$B$12*1000*'Calculation Constants'!$B$13))</f>
        <v>9.375</v>
      </c>
      <c r="Q261" s="68">
        <f t="shared" si="112"/>
        <v>689269.72334380972</v>
      </c>
      <c r="R261" s="27">
        <f>(1/(2*LOG(3.7*$I261/'Calculation Constants'!$B$2*1000)))^2</f>
        <v>9.0112502883211744E-3</v>
      </c>
      <c r="S261" s="19">
        <f t="shared" ref="S261:S263" si="118">IF($H261&gt;0,R261*$H261*$K261^2/2/9.81/$I261*1000,"")</f>
        <v>3.2693475307588078</v>
      </c>
      <c r="T261" s="19">
        <f>IF($H261&gt;0,'Calculation Constants'!$B$9*Hydraulics!$K261^2/2/9.81/MAX($F$4:$F$263)*$H261,"")</f>
        <v>0.15698393480043102</v>
      </c>
      <c r="U261" s="19">
        <f t="shared" ref="U261:U263" si="119">IF(S261="",0,S261+T261)</f>
        <v>3.426331465559239</v>
      </c>
      <c r="V261" s="19">
        <f t="shared" si="87"/>
        <v>0</v>
      </c>
      <c r="W261" s="19">
        <f t="shared" si="113"/>
        <v>120.5687883159311</v>
      </c>
      <c r="X261" s="23">
        <f t="shared" si="89"/>
        <v>1024.3797883159311</v>
      </c>
      <c r="Y261" s="22">
        <f>(1/(2*LOG(3.7*$I261/'Calculation Constants'!$B$3*1000)))^2</f>
        <v>1.0136821254400123E-2</v>
      </c>
      <c r="Z261" s="19">
        <f t="shared" si="114"/>
        <v>3.6777129119105498</v>
      </c>
      <c r="AA261" s="19">
        <f>IF($H261&gt;0,'Calculation Constants'!$B$9*Hydraulics!$K261^2/2/9.81/MAX($F$4:$F$263)*$H261,"")</f>
        <v>0.15698393480043102</v>
      </c>
      <c r="AB261" s="19">
        <f t="shared" si="109"/>
        <v>3.834696846710981</v>
      </c>
      <c r="AC261" s="19">
        <f t="shared" si="91"/>
        <v>0</v>
      </c>
      <c r="AD261" s="19">
        <f t="shared" ref="AD261:AD263" si="120">AE261-$G261</f>
        <v>102.1524776209726</v>
      </c>
      <c r="AE261" s="23">
        <f t="shared" si="92"/>
        <v>1005.9634776209726</v>
      </c>
      <c r="AF261" s="27">
        <f>(1/(2*LOG(3.7*$I261/'Calculation Constants'!$B$4*1000)))^2</f>
        <v>1.1979797083255311E-2</v>
      </c>
      <c r="AG261" s="19">
        <f t="shared" si="115"/>
        <v>4.3463580257994474</v>
      </c>
      <c r="AH261" s="19">
        <f>IF($H261&gt;0,'Calculation Constants'!$B$9*Hydraulics!$K261^2/2/9.81/MAX($F$4:$F$263)*$H261,"")</f>
        <v>0.15698393480043102</v>
      </c>
      <c r="AI261" s="19">
        <f t="shared" ref="AI261:AI263" si="121">IF(AG261="",0,AG261+AH261)</f>
        <v>4.5033419605998786</v>
      </c>
      <c r="AJ261" s="19">
        <f t="shared" si="94"/>
        <v>0</v>
      </c>
      <c r="AK261" s="19">
        <f t="shared" ref="AK261:AK263" si="122">AL261-$G261</f>
        <v>72.106579352878839</v>
      </c>
      <c r="AL261" s="23">
        <f t="shared" si="95"/>
        <v>975.91757935287887</v>
      </c>
      <c r="AM261" s="22">
        <f>(1/(2*LOG(3.7*($I261-0.008)/'Calculation Constants'!$B$5*1000)))^2</f>
        <v>1.5294398771411635E-2</v>
      </c>
      <c r="AN261" s="19">
        <f t="shared" ref="AN261:AN263" si="123">IF($H261&gt;0,AM261*$H261*$K261^2/2/9.81/($I261-0.008)*1000,"")</f>
        <v>5.5786726888400349</v>
      </c>
      <c r="AO261" s="19">
        <f>IF($H261&gt;0,'Calculation Constants'!$B$9*Hydraulics!$K261^2/2/9.81/MAX($F$4:$F$263)*$H261,"")</f>
        <v>0.15698393480043102</v>
      </c>
      <c r="AP261" s="19">
        <f t="shared" ref="AP261:AP263" si="124">IF(AN261="",0,AN261+AO261)</f>
        <v>5.735656623640466</v>
      </c>
      <c r="AQ261" s="19">
        <f t="shared" si="96"/>
        <v>0</v>
      </c>
      <c r="AR261" s="19">
        <f t="shared" ref="AR261:AR263" si="125">AS261-$G261</f>
        <v>17.306604717812206</v>
      </c>
      <c r="AS261" s="23">
        <f t="shared" si="97"/>
        <v>921.11760471781224</v>
      </c>
    </row>
    <row r="262" spans="5:45">
      <c r="E262" s="35" t="str">
        <f t="shared" si="111"/>
        <v/>
      </c>
      <c r="F262" s="19">
        <f>'Profile data'!A262</f>
        <v>518</v>
      </c>
      <c r="G262" s="19">
        <f>VLOOKUP(F262,'Profile data'!A262:C521,IF($B$22="Botswana 1",2,3))</f>
        <v>910.02700000000004</v>
      </c>
      <c r="H262" s="19">
        <f t="shared" ref="H262:H263" si="126">F262-F261</f>
        <v>2</v>
      </c>
      <c r="I262" s="19">
        <v>1.5</v>
      </c>
      <c r="J262" s="36">
        <f>'Flow Rate Calculations'!$B$7</f>
        <v>4.0831050228310497</v>
      </c>
      <c r="K262" s="36">
        <f t="shared" si="116"/>
        <v>2.3105647912778942</v>
      </c>
      <c r="L262" s="37">
        <f>$I262*$K262/'Calculation Constants'!$B$7</f>
        <v>3067121.4043511869</v>
      </c>
      <c r="M262" s="37" t="str">
        <f t="shared" si="84"/>
        <v>Greater Dynamic Pressures</v>
      </c>
      <c r="N262" s="23">
        <f t="shared" si="117"/>
        <v>110.92645685037189</v>
      </c>
      <c r="O262" s="57">
        <f t="shared" si="85"/>
        <v>92.10178077426167</v>
      </c>
      <c r="P262" s="66">
        <f>MAX(I262*1000/'Calculation Constants'!$B$14,O262*10*I262*1000/2/('Calculation Constants'!$B$12*1000*'Calculation Constants'!$B$13))</f>
        <v>9.375</v>
      </c>
      <c r="Q262" s="68">
        <f t="shared" si="112"/>
        <v>689269.72334380972</v>
      </c>
      <c r="R262" s="27">
        <f>(1/(2*LOG(3.7*$I262/'Calculation Constants'!$B$2*1000)))^2</f>
        <v>9.0112502883211744E-3</v>
      </c>
      <c r="S262" s="19">
        <f t="shared" si="118"/>
        <v>3.2693475307588078</v>
      </c>
      <c r="T262" s="19">
        <f>IF($H262&gt;0,'Calculation Constants'!$B$9*Hydraulics!$K262^2/2/9.81/MAX($F$4:$F$263)*$H262,"")</f>
        <v>0.15698393480043102</v>
      </c>
      <c r="U262" s="19">
        <f t="shared" si="119"/>
        <v>3.426331465559239</v>
      </c>
      <c r="V262" s="19">
        <f t="shared" si="87"/>
        <v>0</v>
      </c>
      <c r="W262" s="19">
        <f t="shared" si="113"/>
        <v>110.92645685037189</v>
      </c>
      <c r="X262" s="23">
        <f t="shared" si="89"/>
        <v>1020.9534568503719</v>
      </c>
      <c r="Y262" s="22">
        <f>(1/(2*LOG(3.7*$I262/'Calculation Constants'!$B$3*1000)))^2</f>
        <v>1.0136821254400123E-2</v>
      </c>
      <c r="Z262" s="19">
        <f t="shared" si="114"/>
        <v>3.6777129119105498</v>
      </c>
      <c r="AA262" s="19">
        <f>IF($H262&gt;0,'Calculation Constants'!$B$9*Hydraulics!$K262^2/2/9.81/MAX($F$4:$F$263)*$H262,"")</f>
        <v>0.15698393480043102</v>
      </c>
      <c r="AB262" s="19">
        <f t="shared" si="109"/>
        <v>3.834696846710981</v>
      </c>
      <c r="AC262" s="19">
        <f t="shared" si="91"/>
        <v>0</v>
      </c>
      <c r="AD262" s="19">
        <f t="shared" si="120"/>
        <v>92.10178077426167</v>
      </c>
      <c r="AE262" s="23">
        <f t="shared" si="92"/>
        <v>1002.1287807742617</v>
      </c>
      <c r="AF262" s="27">
        <f>(1/(2*LOG(3.7*$I262/'Calculation Constants'!$B$4*1000)))^2</f>
        <v>1.1979797083255311E-2</v>
      </c>
      <c r="AG262" s="19">
        <f t="shared" si="115"/>
        <v>4.3463580257994474</v>
      </c>
      <c r="AH262" s="19">
        <f>IF($H262&gt;0,'Calculation Constants'!$B$9*Hydraulics!$K262^2/2/9.81/MAX($F$4:$F$263)*$H262,"")</f>
        <v>0.15698393480043102</v>
      </c>
      <c r="AI262" s="19">
        <f t="shared" si="121"/>
        <v>4.5033419605998786</v>
      </c>
      <c r="AJ262" s="19">
        <f t="shared" si="94"/>
        <v>0</v>
      </c>
      <c r="AK262" s="19">
        <f t="shared" si="122"/>
        <v>61.387237392278962</v>
      </c>
      <c r="AL262" s="23">
        <f t="shared" si="95"/>
        <v>971.41423739227901</v>
      </c>
      <c r="AM262" s="22">
        <f>(1/(2*LOG(3.7*($I262-0.008)/'Calculation Constants'!$B$5*1000)))^2</f>
        <v>1.5294398771411635E-2</v>
      </c>
      <c r="AN262" s="19">
        <f t="shared" si="123"/>
        <v>5.5786726888400349</v>
      </c>
      <c r="AO262" s="19">
        <f>IF($H262&gt;0,'Calculation Constants'!$B$9*Hydraulics!$K262^2/2/9.81/MAX($F$4:$F$263)*$H262,"")</f>
        <v>0.15698393480043102</v>
      </c>
      <c r="AP262" s="19">
        <f t="shared" si="124"/>
        <v>5.735656623640466</v>
      </c>
      <c r="AQ262" s="19">
        <f t="shared" si="96"/>
        <v>0</v>
      </c>
      <c r="AR262" s="19">
        <f t="shared" si="125"/>
        <v>5.354948094171732</v>
      </c>
      <c r="AS262" s="23">
        <f t="shared" si="97"/>
        <v>915.38194809417178</v>
      </c>
    </row>
    <row r="263" spans="5:45" ht="15.75" thickBot="1">
      <c r="E263" s="38" t="str">
        <f t="shared" si="111"/>
        <v>Reservoir</v>
      </c>
      <c r="F263" s="25">
        <f>'Profile data'!A263</f>
        <v>520</v>
      </c>
      <c r="G263" s="25">
        <f>VLOOKUP(F263,'Profile data'!A263:C522,IF($B$22="Botswana 1",2,3))</f>
        <v>911.13099999999997</v>
      </c>
      <c r="H263" s="25">
        <f t="shared" si="126"/>
        <v>2</v>
      </c>
      <c r="I263" s="25">
        <v>1.5</v>
      </c>
      <c r="J263" s="39">
        <f>'Flow Rate Calculations'!$B$7</f>
        <v>4.0831050228310497</v>
      </c>
      <c r="K263" s="39">
        <f t="shared" si="116"/>
        <v>2.3105647912778942</v>
      </c>
      <c r="L263" s="40">
        <f>$I263*$K263/'Calculation Constants'!$B$7</f>
        <v>3067121.4043511869</v>
      </c>
      <c r="M263" s="40">
        <f t="shared" si="84"/>
        <v>10</v>
      </c>
      <c r="N263" s="26">
        <f t="shared" si="117"/>
        <v>10</v>
      </c>
      <c r="O263" s="58">
        <f t="shared" si="85"/>
        <v>10</v>
      </c>
      <c r="P263" s="67">
        <f>MAX(I263*1000/'Calculation Constants'!$B$14,O263*10*I263*1000/2/('Calculation Constants'!$B$12*1000*'Calculation Constants'!$B$13))</f>
        <v>9.375</v>
      </c>
      <c r="Q263" s="69">
        <f t="shared" si="112"/>
        <v>689269.72334380972</v>
      </c>
      <c r="R263" s="30">
        <f>(1/(2*LOG(3.7*$I263/'Calculation Constants'!$B$2*1000)))^2</f>
        <v>9.0112502883211744E-3</v>
      </c>
      <c r="S263" s="25">
        <f t="shared" si="118"/>
        <v>3.2693475307588078</v>
      </c>
      <c r="T263" s="25">
        <f>IF($H263&gt;0,'Calculation Constants'!$B$9*Hydraulics!$K263^2/2/9.81/MAX($F$4:$F$263)*$H263,"")</f>
        <v>0.15698393480043102</v>
      </c>
      <c r="U263" s="25">
        <f t="shared" si="119"/>
        <v>3.426331465559239</v>
      </c>
      <c r="V263" s="25">
        <f t="shared" si="87"/>
        <v>0</v>
      </c>
      <c r="W263" s="25">
        <f t="shared" si="113"/>
        <v>10</v>
      </c>
      <c r="X263" s="26">
        <f t="shared" si="89"/>
        <v>921.13099999999997</v>
      </c>
      <c r="Y263" s="24">
        <f>(1/(2*LOG(3.7*$I263/'Calculation Constants'!$B$3*1000)))^2</f>
        <v>1.0136821254400123E-2</v>
      </c>
      <c r="Z263" s="25">
        <f t="shared" si="114"/>
        <v>3.6777129119105498</v>
      </c>
      <c r="AA263" s="25">
        <f>IF($H263&gt;0,'Calculation Constants'!$B$9*Hydraulics!$K263^2/2/9.81/MAX($F$4:$F$263)*$H263,"")</f>
        <v>0.15698393480043102</v>
      </c>
      <c r="AB263" s="25">
        <f t="shared" si="109"/>
        <v>3.834696846710981</v>
      </c>
      <c r="AC263" s="25">
        <f t="shared" si="91"/>
        <v>0</v>
      </c>
      <c r="AD263" s="25">
        <f t="shared" si="120"/>
        <v>10</v>
      </c>
      <c r="AE263" s="26">
        <f t="shared" si="92"/>
        <v>921.13099999999997</v>
      </c>
      <c r="AF263" s="30">
        <f>(1/(2*LOG(3.7*$I263/'Calculation Constants'!$B$4*1000)))^2</f>
        <v>1.1979797083255311E-2</v>
      </c>
      <c r="AG263" s="25">
        <f t="shared" si="115"/>
        <v>4.3463580257994474</v>
      </c>
      <c r="AH263" s="25">
        <f>IF($H263&gt;0,'Calculation Constants'!$B$9*Hydraulics!$K263^2/2/9.81/MAX($F$4:$F$263)*$H263,"")</f>
        <v>0.15698393480043102</v>
      </c>
      <c r="AI263" s="25">
        <f t="shared" si="121"/>
        <v>4.5033419605998786</v>
      </c>
      <c r="AJ263" s="25">
        <f t="shared" si="94"/>
        <v>0</v>
      </c>
      <c r="AK263" s="25">
        <f t="shared" si="122"/>
        <v>10</v>
      </c>
      <c r="AL263" s="26">
        <f t="shared" si="95"/>
        <v>921.13099999999997</v>
      </c>
      <c r="AM263" s="24">
        <f>(1/(2*LOG(3.7*($I263-0.008)/'Calculation Constants'!$B$5*1000)))^2</f>
        <v>1.5294398771411635E-2</v>
      </c>
      <c r="AN263" s="25">
        <f t="shared" si="123"/>
        <v>5.5786726888400349</v>
      </c>
      <c r="AO263" s="25">
        <f>IF($H263&gt;0,'Calculation Constants'!$B$9*Hydraulics!$K263^2/2/9.81/MAX($F$4:$F$263)*$H263,"")</f>
        <v>0.15698393480043102</v>
      </c>
      <c r="AP263" s="25">
        <f t="shared" si="124"/>
        <v>5.735656623640466</v>
      </c>
      <c r="AQ263" s="25">
        <f t="shared" si="96"/>
        <v>0</v>
      </c>
      <c r="AR263" s="25">
        <f t="shared" si="125"/>
        <v>10</v>
      </c>
      <c r="AS263" s="26">
        <f t="shared" si="97"/>
        <v>921.13099999999997</v>
      </c>
    </row>
    <row r="264" spans="5:45" ht="15.75" thickBot="1">
      <c r="E264" s="71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 t="s">
        <v>76</v>
      </c>
      <c r="Q264" s="72">
        <f>SUM(Q4:Q263)</f>
        <v>298577829.67754787</v>
      </c>
    </row>
    <row r="265" spans="5:45">
      <c r="Q265" s="70"/>
    </row>
  </sheetData>
  <dataConsolidate/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63 AD4:AD263 AK4:AK263 AR4:AR263">
      <formula1>10</formula1>
    </dataValidation>
    <dataValidation type="list" allowBlank="1" showInputMessage="1" showErrorMessage="1" sqref="B11:B15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5" fitToHeight="3" orientation="landscape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Summary</vt:lpstr>
      <vt:lpstr>Control Points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'Control Points'!Routes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2010-05-21T13:23:29Z</cp:lastPrinted>
  <dcterms:created xsi:type="dcterms:W3CDTF">2010-04-20T13:30:20Z</dcterms:created>
  <dcterms:modified xsi:type="dcterms:W3CDTF">2010-08-17T10:03:35Z</dcterms:modified>
</cp:coreProperties>
</file>