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activeTab="5"/>
  </bookViews>
  <sheets>
    <sheet name="Summary" sheetId="8" r:id="rId1"/>
    <sheet name="Profile data" sheetId="2" r:id="rId2"/>
    <sheet name="Flow Rate Calculations" sheetId="3" r:id="rId3"/>
    <sheet name="Calculation Constants" sheetId="5" r:id="rId4"/>
    <sheet name="Hydraulics" sheetId="4" r:id="rId5"/>
    <sheet name="Profile" sheetId="7" r:id="rId6"/>
  </sheets>
  <definedNames>
    <definedName name="Chaiange">Hydraulics!$F$4:$F$253</definedName>
    <definedName name="_xlnm.Print_Area" localSheetId="4">Hydraulics!$E$1:$Q$254</definedName>
    <definedName name="_xlnm.Print_Titles" localSheetId="4">Hydraulics!$1:$3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R4" i="4"/>
  <c r="R1" l="1"/>
  <c r="E1"/>
  <c r="AN4" l="1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5"/>
  <c r="C6"/>
  <c r="C14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8"/>
  <c r="K238" s="1"/>
  <c r="L238" s="1"/>
  <c r="J244"/>
  <c r="K244" s="1"/>
  <c r="L244" s="1"/>
  <c r="J248"/>
  <c r="K248" s="1"/>
  <c r="L248" s="1"/>
  <c r="J252"/>
  <c r="K252" s="1"/>
  <c r="L252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36"/>
  <c r="K236" s="1"/>
  <c r="L236" s="1"/>
  <c r="J240"/>
  <c r="K240" s="1"/>
  <c r="L240" s="1"/>
  <c r="J242"/>
  <c r="K242" s="1"/>
  <c r="L242" s="1"/>
  <c r="J246"/>
  <c r="K246" s="1"/>
  <c r="L246" s="1"/>
  <c r="J250"/>
  <c r="K250" s="1"/>
  <c r="L250" s="1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41"/>
  <c r="AQ241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50"/>
  <c r="AQ250"/>
  <c r="AJ238"/>
  <c r="AQ238"/>
  <c r="AJ226"/>
  <c r="AQ226"/>
  <c r="AJ206"/>
  <c r="AQ206"/>
  <c r="AJ186"/>
  <c r="AQ186"/>
  <c r="AJ4"/>
  <c r="AQ4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4"/>
  <c r="C11" s="1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C13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51"/>
  <c r="AN251" s="1"/>
  <c r="H247"/>
  <c r="AN247" s="1"/>
  <c r="H245"/>
  <c r="AN245" s="1"/>
  <c r="H241"/>
  <c r="AN241" s="1"/>
  <c r="H237"/>
  <c r="AN237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W4" l="1"/>
  <c r="N4" s="1"/>
  <c r="C17"/>
  <c r="AL4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45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41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37"/>
  <c r="AO251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47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H237"/>
  <c r="AG237"/>
  <c r="AH245"/>
  <c r="AG245"/>
  <c r="AI245" s="1"/>
  <c r="AH251"/>
  <c r="AG251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H241"/>
  <c r="AG241"/>
  <c r="AH247"/>
  <c r="AG247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37"/>
  <c r="T237"/>
  <c r="Z237"/>
  <c r="S237"/>
  <c r="AA245"/>
  <c r="T245"/>
  <c r="Z245"/>
  <c r="S245"/>
  <c r="AA251"/>
  <c r="T251"/>
  <c r="Z251"/>
  <c r="S251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41"/>
  <c r="T241"/>
  <c r="Z241"/>
  <c r="S241"/>
  <c r="AA247"/>
  <c r="T247"/>
  <c r="Z247"/>
  <c r="S247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35" l="1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116"/>
  <c r="AI106"/>
  <c r="AI98"/>
  <c r="AI118"/>
  <c r="AI100"/>
  <c r="AI253"/>
  <c r="AI171"/>
  <c r="AP166"/>
  <c r="AI173"/>
  <c r="U72"/>
  <c r="U124"/>
  <c r="U182"/>
  <c r="AB182" s="1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179"/>
  <c r="AB14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51"/>
  <c r="AI237"/>
  <c r="AI112"/>
  <c r="AI102"/>
  <c r="AI110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47"/>
  <c r="AP231"/>
  <c r="AP215"/>
  <c r="AP199"/>
  <c r="AP183"/>
  <c r="AP167"/>
  <c r="AP151"/>
  <c r="AP135"/>
  <c r="AP119"/>
  <c r="AP101"/>
  <c r="AP83"/>
  <c r="AP67"/>
  <c r="AP51"/>
  <c r="AP35"/>
  <c r="AP19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96"/>
  <c r="AP44"/>
  <c r="AP8"/>
  <c r="AP229"/>
  <c r="AP213"/>
  <c r="AP197"/>
  <c r="AP181"/>
  <c r="AP165"/>
  <c r="AP149"/>
  <c r="AP133"/>
  <c r="AP117"/>
  <c r="AP99"/>
  <c r="AP81"/>
  <c r="AP65"/>
  <c r="AP49"/>
  <c r="AP33"/>
  <c r="AP17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X7" l="1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AD252" l="1"/>
  <c r="O252" s="1"/>
  <c r="P252" s="1"/>
  <c r="Q252" s="1"/>
  <c r="AK252"/>
  <c r="AR252"/>
  <c r="AD253" l="1"/>
  <c r="O253" s="1"/>
  <c r="P253" s="1"/>
  <c r="Q253" s="1"/>
  <c r="AR253"/>
  <c r="AK253"/>
  <c r="W6" l="1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Q254" l="1"/>
</calcChain>
</file>

<file path=xl/sharedStrings.xml><?xml version="1.0" encoding="utf-8"?>
<sst xmlns="http://schemas.openxmlformats.org/spreadsheetml/2006/main" count="117" uniqueCount="83">
  <si>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</si>
  <si>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</si>
  <si>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</si>
  <si>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</si>
  <si>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</si>
  <si>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</si>
  <si>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</si>
  <si>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</si>
  <si>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</si>
  <si>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</si>
  <si>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</si>
  <si>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</si>
  <si>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</si>
  <si>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</si>
  <si>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</si>
  <si>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</si>
  <si>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</si>
  <si>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</si>
  <si>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</si>
  <si>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</si>
  <si>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</si>
  <si>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</si>
  <si>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</si>
  <si>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</si>
  <si>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</si>
  <si>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</si>
  <si>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</si>
  <si>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</si>
  <si>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</si>
  <si>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</si>
  <si>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</si>
  <si>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</si>
  <si>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</si>
  <si>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</si>
  <si>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</si>
  <si>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</si>
  <si>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</si>
  <si>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</si>
  <si>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</si>
  <si>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</si>
  <si>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</si>
  <si>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</si>
  <si>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</si>
  <si>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</si>
  <si>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</si>
  <si>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</si>
  <si>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</si>
  <si>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</si>
  <si>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</si>
  <si>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</si>
  <si>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</si>
  <si>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</si>
  <si>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</si>
  <si>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</si>
  <si>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</si>
  <si>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</si>
  <si>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</si>
  <si>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</si>
  <si>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</si>
  <si>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</si>
  <si>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</si>
  <si>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</si>
  <si>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</si>
  <si>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</si>
  <si>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</si>
  <si>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</si>
  <si>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</si>
  <si>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</si>
  <si>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</si>
  <si>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</si>
  <si>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</si>
  <si>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</si>
  <si>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</si>
  <si>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0-8</t>
  </si>
  <si>
    <t>m - Diameter</t>
  </si>
  <si>
    <t>8-330</t>
  </si>
  <si>
    <t>Reservoirs</t>
  </si>
  <si>
    <t>Total Steel Mass (kg):</t>
  </si>
  <si>
    <t>m - Pumping Head</t>
  </si>
  <si>
    <t>330-482</t>
  </si>
  <si>
    <t>482-500</t>
  </si>
  <si>
    <t>Option 1B Summary</t>
  </si>
  <si>
    <t>Option 1B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</si>
</sst>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"/>
    <numFmt numFmtId="166" formatCode="0.0"/>
    <numFmt numFmtId="167" formatCode="&quot;R&quot;\ #,##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/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1168768"/>
        <c:axId val="91170688"/>
      </c:scatterChart>
      <c:valAx>
        <c:axId val="9116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170688"/>
        <c:crosses val="autoZero"/>
        <c:crossBetween val="midCat"/>
      </c:valAx>
      <c:valAx>
        <c:axId val="91170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1687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391" l="0.70866141732283672" r="0.70866141732283672" t="0.74803149606299391" header="0.3149606299212615" footer="0.314960629921261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1B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layout/>
              <c:showVal val="1"/>
            </c:dLbl>
            <c:dLbl>
              <c:idx val="178"/>
              <c:layout/>
              <c:showVal val="1"/>
            </c:dLbl>
            <c:delete val="1"/>
          </c:dLbls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1187456"/>
        <c:axId val="91214208"/>
      </c:scatterChart>
      <c:valAx>
        <c:axId val="91187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214208"/>
        <c:crosses val="autoZero"/>
        <c:crossBetween val="midCat"/>
      </c:valAx>
      <c:valAx>
        <c:axId val="91214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187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6: Option 1B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Hydraulics!$G$4:$G$253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Hydraulics!$X$4:$X$253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1078.5300291028686</c:v>
                </c:pt>
                <c:pt idx="2">
                  <c:v>1078.0420582057372</c:v>
                </c:pt>
                <c:pt idx="3">
                  <c:v>1277.5540873086059</c:v>
                </c:pt>
                <c:pt idx="4">
                  <c:v>1277.0661164114745</c:v>
                </c:pt>
                <c:pt idx="5">
                  <c:v>1276.5781455143431</c:v>
                </c:pt>
                <c:pt idx="6">
                  <c:v>1276.0901746172117</c:v>
                </c:pt>
                <c:pt idx="7">
                  <c:v>1275.6022037200803</c:v>
                </c:pt>
                <c:pt idx="8">
                  <c:v>1275.1142328229489</c:v>
                </c:pt>
                <c:pt idx="9">
                  <c:v>1274.6262619258175</c:v>
                </c:pt>
                <c:pt idx="10">
                  <c:v>1274.1382910286861</c:v>
                </c:pt>
                <c:pt idx="11">
                  <c:v>1273.6503201315547</c:v>
                </c:pt>
                <c:pt idx="12">
                  <c:v>1273.1623492344233</c:v>
                </c:pt>
                <c:pt idx="13">
                  <c:v>1272.674378337292</c:v>
                </c:pt>
                <c:pt idx="14">
                  <c:v>1272.1864074401606</c:v>
                </c:pt>
                <c:pt idx="15">
                  <c:v>1271.6984365430292</c:v>
                </c:pt>
                <c:pt idx="16">
                  <c:v>1271.2104656458978</c:v>
                </c:pt>
                <c:pt idx="17">
                  <c:v>1270.7224947487664</c:v>
                </c:pt>
                <c:pt idx="18">
                  <c:v>1270.234523851635</c:v>
                </c:pt>
                <c:pt idx="19">
                  <c:v>1269.7465529545036</c:v>
                </c:pt>
                <c:pt idx="20">
                  <c:v>1269.2585820573722</c:v>
                </c:pt>
                <c:pt idx="21">
                  <c:v>1268.7706111602408</c:v>
                </c:pt>
                <c:pt idx="22">
                  <c:v>1268.2826402631094</c:v>
                </c:pt>
                <c:pt idx="23">
                  <c:v>1267.7946693659781</c:v>
                </c:pt>
                <c:pt idx="24">
                  <c:v>1267.3066984688467</c:v>
                </c:pt>
                <c:pt idx="25">
                  <c:v>1266.8187275717153</c:v>
                </c:pt>
                <c:pt idx="26">
                  <c:v>1266.3307566745839</c:v>
                </c:pt>
                <c:pt idx="27">
                  <c:v>1265.8427857774525</c:v>
                </c:pt>
                <c:pt idx="28">
                  <c:v>1265.3548148803211</c:v>
                </c:pt>
                <c:pt idx="29">
                  <c:v>1264.8668439831897</c:v>
                </c:pt>
                <c:pt idx="30">
                  <c:v>1264.3788730860583</c:v>
                </c:pt>
                <c:pt idx="31">
                  <c:v>1263.8909021889269</c:v>
                </c:pt>
                <c:pt idx="32">
                  <c:v>1263.4029312917955</c:v>
                </c:pt>
                <c:pt idx="33">
                  <c:v>1262.9149603946641</c:v>
                </c:pt>
                <c:pt idx="34">
                  <c:v>1262.4269894975328</c:v>
                </c:pt>
                <c:pt idx="35">
                  <c:v>1261.9390186004014</c:v>
                </c:pt>
                <c:pt idx="36">
                  <c:v>1261.45104770327</c:v>
                </c:pt>
                <c:pt idx="37">
                  <c:v>1260.9630768061386</c:v>
                </c:pt>
                <c:pt idx="38">
                  <c:v>1260.4751059090072</c:v>
                </c:pt>
                <c:pt idx="39">
                  <c:v>1259.9871350118758</c:v>
                </c:pt>
                <c:pt idx="40">
                  <c:v>1259.4991641147444</c:v>
                </c:pt>
                <c:pt idx="41">
                  <c:v>1259.011193217613</c:v>
                </c:pt>
                <c:pt idx="42">
                  <c:v>1258.5232223204816</c:v>
                </c:pt>
                <c:pt idx="43">
                  <c:v>1258.0352514233502</c:v>
                </c:pt>
                <c:pt idx="44">
                  <c:v>1257.5472805262189</c:v>
                </c:pt>
                <c:pt idx="45">
                  <c:v>1257.0593096290875</c:v>
                </c:pt>
                <c:pt idx="46">
                  <c:v>1256.5713387319561</c:v>
                </c:pt>
                <c:pt idx="47">
                  <c:v>1256.0833678348247</c:v>
                </c:pt>
                <c:pt idx="48">
                  <c:v>1255.5953969376933</c:v>
                </c:pt>
                <c:pt idx="49">
                  <c:v>1255.1074260405619</c:v>
                </c:pt>
                <c:pt idx="50">
                  <c:v>1254.6194551434305</c:v>
                </c:pt>
                <c:pt idx="51">
                  <c:v>1254.1314842462991</c:v>
                </c:pt>
                <c:pt idx="52">
                  <c:v>1253.6435133491677</c:v>
                </c:pt>
                <c:pt idx="53">
                  <c:v>1253.1555424520363</c:v>
                </c:pt>
                <c:pt idx="54">
                  <c:v>1252.667571554905</c:v>
                </c:pt>
                <c:pt idx="55">
                  <c:v>1252.1796006577736</c:v>
                </c:pt>
                <c:pt idx="56">
                  <c:v>1251.6916297606422</c:v>
                </c:pt>
                <c:pt idx="57">
                  <c:v>1251.2036588635108</c:v>
                </c:pt>
                <c:pt idx="58">
                  <c:v>1250.7156879663794</c:v>
                </c:pt>
                <c:pt idx="59">
                  <c:v>1250.227717069248</c:v>
                </c:pt>
                <c:pt idx="60">
                  <c:v>1249.7397461721166</c:v>
                </c:pt>
                <c:pt idx="61">
                  <c:v>1249.2517752749852</c:v>
                </c:pt>
                <c:pt idx="62">
                  <c:v>1248.7638043778538</c:v>
                </c:pt>
                <c:pt idx="63">
                  <c:v>1248.2758334807224</c:v>
                </c:pt>
                <c:pt idx="64">
                  <c:v>1247.787862583591</c:v>
                </c:pt>
                <c:pt idx="65">
                  <c:v>1247.2998916864597</c:v>
                </c:pt>
                <c:pt idx="66">
                  <c:v>1246.8119207893283</c:v>
                </c:pt>
                <c:pt idx="67">
                  <c:v>1246.3239498921969</c:v>
                </c:pt>
                <c:pt idx="68">
                  <c:v>1245.8359789950655</c:v>
                </c:pt>
                <c:pt idx="69">
                  <c:v>1245.3480080979341</c:v>
                </c:pt>
                <c:pt idx="70">
                  <c:v>1244.8600372008027</c:v>
                </c:pt>
                <c:pt idx="71">
                  <c:v>1244.3720663036713</c:v>
                </c:pt>
                <c:pt idx="72">
                  <c:v>1243.8840954065399</c:v>
                </c:pt>
                <c:pt idx="73">
                  <c:v>1243.3961245094085</c:v>
                </c:pt>
                <c:pt idx="74">
                  <c:v>1242.9081536122771</c:v>
                </c:pt>
                <c:pt idx="75">
                  <c:v>1242.4201827151458</c:v>
                </c:pt>
                <c:pt idx="76">
                  <c:v>1241.9322118180144</c:v>
                </c:pt>
                <c:pt idx="77">
                  <c:v>1241.444240920883</c:v>
                </c:pt>
                <c:pt idx="78">
                  <c:v>1240.9562700237516</c:v>
                </c:pt>
                <c:pt idx="79">
                  <c:v>1240.4682991266202</c:v>
                </c:pt>
                <c:pt idx="80">
                  <c:v>1239.9803282294888</c:v>
                </c:pt>
                <c:pt idx="81">
                  <c:v>1239.4923573323574</c:v>
                </c:pt>
                <c:pt idx="82">
                  <c:v>1239.004386435226</c:v>
                </c:pt>
                <c:pt idx="83">
                  <c:v>1238.5164155380946</c:v>
                </c:pt>
                <c:pt idx="84">
                  <c:v>1238.0284446409632</c:v>
                </c:pt>
                <c:pt idx="85">
                  <c:v>1237.5404737438319</c:v>
                </c:pt>
                <c:pt idx="86">
                  <c:v>1237.0525028467005</c:v>
                </c:pt>
                <c:pt idx="87">
                  <c:v>1236.5645319495691</c:v>
                </c:pt>
                <c:pt idx="88">
                  <c:v>1236.0765610524377</c:v>
                </c:pt>
                <c:pt idx="89">
                  <c:v>1235.5885901553063</c:v>
                </c:pt>
                <c:pt idx="90">
                  <c:v>1235.1006192581749</c:v>
                </c:pt>
                <c:pt idx="91">
                  <c:v>1234.6126483610435</c:v>
                </c:pt>
                <c:pt idx="92">
                  <c:v>1234.1246774639121</c:v>
                </c:pt>
                <c:pt idx="93">
                  <c:v>1233.6367065667807</c:v>
                </c:pt>
                <c:pt idx="94">
                  <c:v>1233.1487356696493</c:v>
                </c:pt>
                <c:pt idx="95">
                  <c:v>1232.660764772518</c:v>
                </c:pt>
                <c:pt idx="96">
                  <c:v>1232.1727938753866</c:v>
                </c:pt>
                <c:pt idx="97">
                  <c:v>1231.6848229782552</c:v>
                </c:pt>
                <c:pt idx="98">
                  <c:v>1231.1968520811238</c:v>
                </c:pt>
                <c:pt idx="99">
                  <c:v>1230.7088811839924</c:v>
                </c:pt>
                <c:pt idx="100">
                  <c:v>1230.220910286861</c:v>
                </c:pt>
                <c:pt idx="101">
                  <c:v>1229.7329393897296</c:v>
                </c:pt>
                <c:pt idx="102">
                  <c:v>1229.2449684925982</c:v>
                </c:pt>
                <c:pt idx="103">
                  <c:v>1228.7569975954668</c:v>
                </c:pt>
                <c:pt idx="104">
                  <c:v>1228.2690266983354</c:v>
                </c:pt>
                <c:pt idx="105">
                  <c:v>1227.781055801204</c:v>
                </c:pt>
                <c:pt idx="106">
                  <c:v>1227.2930849040727</c:v>
                </c:pt>
                <c:pt idx="107">
                  <c:v>1226.8051140069413</c:v>
                </c:pt>
                <c:pt idx="108">
                  <c:v>1226.3171431098099</c:v>
                </c:pt>
                <c:pt idx="109">
                  <c:v>1225.8291722126785</c:v>
                </c:pt>
                <c:pt idx="110">
                  <c:v>1225.3412013155471</c:v>
                </c:pt>
                <c:pt idx="111">
                  <c:v>1224.8532304184157</c:v>
                </c:pt>
                <c:pt idx="112">
                  <c:v>1224.3652595212843</c:v>
                </c:pt>
                <c:pt idx="113">
                  <c:v>1223.8772886241529</c:v>
                </c:pt>
                <c:pt idx="114">
                  <c:v>1223.3893177270215</c:v>
                </c:pt>
                <c:pt idx="115">
                  <c:v>1222.9013468298901</c:v>
                </c:pt>
                <c:pt idx="116">
                  <c:v>1222.4133759327588</c:v>
                </c:pt>
                <c:pt idx="117">
                  <c:v>1221.9254050356274</c:v>
                </c:pt>
                <c:pt idx="118">
                  <c:v>1221.437434138496</c:v>
                </c:pt>
                <c:pt idx="119">
                  <c:v>1220.9494632413646</c:v>
                </c:pt>
                <c:pt idx="120">
                  <c:v>1220.4614923442332</c:v>
                </c:pt>
                <c:pt idx="121">
                  <c:v>1219.9735214471018</c:v>
                </c:pt>
                <c:pt idx="122">
                  <c:v>1219.4855505499704</c:v>
                </c:pt>
                <c:pt idx="123">
                  <c:v>1218.997579652839</c:v>
                </c:pt>
                <c:pt idx="124">
                  <c:v>1218.5096087557076</c:v>
                </c:pt>
                <c:pt idx="125">
                  <c:v>1218.0216378585762</c:v>
                </c:pt>
                <c:pt idx="126">
                  <c:v>1217.5336669614449</c:v>
                </c:pt>
                <c:pt idx="127">
                  <c:v>1217.0456960643135</c:v>
                </c:pt>
                <c:pt idx="128">
                  <c:v>1216.5577251671821</c:v>
                </c:pt>
                <c:pt idx="129">
                  <c:v>1216.0697542700507</c:v>
                </c:pt>
                <c:pt idx="130">
                  <c:v>1215.5817833729193</c:v>
                </c:pt>
                <c:pt idx="131">
                  <c:v>1215.0938124757879</c:v>
                </c:pt>
                <c:pt idx="132">
                  <c:v>1214.6058415786565</c:v>
                </c:pt>
                <c:pt idx="133">
                  <c:v>1214.1178706815251</c:v>
                </c:pt>
                <c:pt idx="134">
                  <c:v>1213.6298997843937</c:v>
                </c:pt>
                <c:pt idx="135">
                  <c:v>1213.1419288872623</c:v>
                </c:pt>
                <c:pt idx="136">
                  <c:v>1212.6539579901309</c:v>
                </c:pt>
                <c:pt idx="137">
                  <c:v>1212.1659870929996</c:v>
                </c:pt>
                <c:pt idx="138">
                  <c:v>1211.6780161958682</c:v>
                </c:pt>
                <c:pt idx="139">
                  <c:v>1211.1900452987368</c:v>
                </c:pt>
                <c:pt idx="140">
                  <c:v>1210.7020744016054</c:v>
                </c:pt>
                <c:pt idx="141">
                  <c:v>1210.214103504474</c:v>
                </c:pt>
                <c:pt idx="142">
                  <c:v>1209.7261326073426</c:v>
                </c:pt>
                <c:pt idx="143">
                  <c:v>1209.2381617102112</c:v>
                </c:pt>
                <c:pt idx="144">
                  <c:v>1208.7501908130798</c:v>
                </c:pt>
                <c:pt idx="145">
                  <c:v>1208.2622199159484</c:v>
                </c:pt>
                <c:pt idx="146">
                  <c:v>1207.774249018817</c:v>
                </c:pt>
                <c:pt idx="147">
                  <c:v>1207.2862781216857</c:v>
                </c:pt>
                <c:pt idx="148">
                  <c:v>1206.7983072245543</c:v>
                </c:pt>
                <c:pt idx="149">
                  <c:v>1206.3103363274229</c:v>
                </c:pt>
                <c:pt idx="150">
                  <c:v>1205.8223654302915</c:v>
                </c:pt>
                <c:pt idx="151">
                  <c:v>1205.3343945331601</c:v>
                </c:pt>
                <c:pt idx="152">
                  <c:v>1204.8464236360287</c:v>
                </c:pt>
                <c:pt idx="153">
                  <c:v>1204.3584527388973</c:v>
                </c:pt>
                <c:pt idx="154">
                  <c:v>1203.8704818417659</c:v>
                </c:pt>
                <c:pt idx="155">
                  <c:v>1203.3825109446345</c:v>
                </c:pt>
                <c:pt idx="156">
                  <c:v>1202.8945400475031</c:v>
                </c:pt>
                <c:pt idx="157">
                  <c:v>1202.4065691503718</c:v>
                </c:pt>
                <c:pt idx="158">
                  <c:v>1201.9185982532404</c:v>
                </c:pt>
                <c:pt idx="159">
                  <c:v>1201.430627356109</c:v>
                </c:pt>
                <c:pt idx="160">
                  <c:v>1200.9426564589776</c:v>
                </c:pt>
                <c:pt idx="161">
                  <c:v>1200.4546855618462</c:v>
                </c:pt>
                <c:pt idx="162">
                  <c:v>1199.9667146647148</c:v>
                </c:pt>
                <c:pt idx="163">
                  <c:v>1199.4787437675834</c:v>
                </c:pt>
                <c:pt idx="164">
                  <c:v>1198.1247618140396</c:v>
                </c:pt>
                <c:pt idx="165">
                  <c:v>1196.7707798604958</c:v>
                </c:pt>
                <c:pt idx="166">
                  <c:v>1195.4167979069521</c:v>
                </c:pt>
                <c:pt idx="167">
                  <c:v>1194.0628159534083</c:v>
                </c:pt>
                <c:pt idx="168">
                  <c:v>1192.7088339998645</c:v>
                </c:pt>
                <c:pt idx="169">
                  <c:v>1191.3548520463207</c:v>
                </c:pt>
                <c:pt idx="170">
                  <c:v>1190.0008700927769</c:v>
                </c:pt>
                <c:pt idx="171">
                  <c:v>1188.6468881392332</c:v>
                </c:pt>
                <c:pt idx="172">
                  <c:v>1187.2929061856894</c:v>
                </c:pt>
                <c:pt idx="173">
                  <c:v>1185.9389242321456</c:v>
                </c:pt>
                <c:pt idx="174">
                  <c:v>1184.5849422786018</c:v>
                </c:pt>
                <c:pt idx="175">
                  <c:v>1183.230960325058</c:v>
                </c:pt>
                <c:pt idx="176">
                  <c:v>1181.8769783715143</c:v>
                </c:pt>
                <c:pt idx="177">
                  <c:v>1180.5229964179705</c:v>
                </c:pt>
                <c:pt idx="178">
                  <c:v>1179.1690144644267</c:v>
                </c:pt>
                <c:pt idx="179">
                  <c:v>1177.8150325108829</c:v>
                </c:pt>
                <c:pt idx="180">
                  <c:v>1176.4610505573391</c:v>
                </c:pt>
                <c:pt idx="181">
                  <c:v>1175.1070686037954</c:v>
                </c:pt>
                <c:pt idx="182">
                  <c:v>1173.7530866502516</c:v>
                </c:pt>
                <c:pt idx="183">
                  <c:v>1172.3991046967078</c:v>
                </c:pt>
                <c:pt idx="184">
                  <c:v>1171.045122743164</c:v>
                </c:pt>
                <c:pt idx="185">
                  <c:v>1169.6911407896202</c:v>
                </c:pt>
                <c:pt idx="186">
                  <c:v>1168.3371588360765</c:v>
                </c:pt>
                <c:pt idx="187">
                  <c:v>1166.9831768825327</c:v>
                </c:pt>
                <c:pt idx="188">
                  <c:v>1165.6291949289889</c:v>
                </c:pt>
                <c:pt idx="189">
                  <c:v>1164.2752129754451</c:v>
                </c:pt>
                <c:pt idx="190">
                  <c:v>1162.9212310219013</c:v>
                </c:pt>
                <c:pt idx="191">
                  <c:v>1161.5672490683576</c:v>
                </c:pt>
                <c:pt idx="192">
                  <c:v>1160.2132671148138</c:v>
                </c:pt>
                <c:pt idx="193">
                  <c:v>1158.85928516127</c:v>
                </c:pt>
                <c:pt idx="194">
                  <c:v>1157.5053032077262</c:v>
                </c:pt>
                <c:pt idx="195">
                  <c:v>1156.1513212541824</c:v>
                </c:pt>
                <c:pt idx="196">
                  <c:v>1154.7973393006387</c:v>
                </c:pt>
                <c:pt idx="197">
                  <c:v>1153.4433573470949</c:v>
                </c:pt>
                <c:pt idx="198">
                  <c:v>1152.0893753935511</c:v>
                </c:pt>
                <c:pt idx="199">
                  <c:v>1150.7353934400073</c:v>
                </c:pt>
                <c:pt idx="200">
                  <c:v>1149.3814114864635</c:v>
                </c:pt>
                <c:pt idx="201">
                  <c:v>1148.0274295329198</c:v>
                </c:pt>
                <c:pt idx="202">
                  <c:v>1146.673447579376</c:v>
                </c:pt>
                <c:pt idx="203">
                  <c:v>1145.3194656258322</c:v>
                </c:pt>
                <c:pt idx="204">
                  <c:v>1143.9654836722884</c:v>
                </c:pt>
                <c:pt idx="205">
                  <c:v>1142.6115017187446</c:v>
                </c:pt>
                <c:pt idx="206">
                  <c:v>1141.2575197652009</c:v>
                </c:pt>
                <c:pt idx="207">
                  <c:v>1139.9035378116571</c:v>
                </c:pt>
                <c:pt idx="208">
                  <c:v>1138.5495558581133</c:v>
                </c:pt>
                <c:pt idx="209">
                  <c:v>1137.1955739045695</c:v>
                </c:pt>
                <c:pt idx="210">
                  <c:v>1135.8415919510257</c:v>
                </c:pt>
                <c:pt idx="211">
                  <c:v>1134.487609997482</c:v>
                </c:pt>
                <c:pt idx="212">
                  <c:v>1133.1336280439382</c:v>
                </c:pt>
                <c:pt idx="213">
                  <c:v>1131.7796460903944</c:v>
                </c:pt>
                <c:pt idx="214">
                  <c:v>1130.4256641368506</c:v>
                </c:pt>
                <c:pt idx="215">
                  <c:v>1129.0716821833068</c:v>
                </c:pt>
                <c:pt idx="216">
                  <c:v>1127.7177002297631</c:v>
                </c:pt>
                <c:pt idx="217">
                  <c:v>1126.3637182762193</c:v>
                </c:pt>
                <c:pt idx="218">
                  <c:v>1125.0097363226755</c:v>
                </c:pt>
                <c:pt idx="219">
                  <c:v>1123.6557543691317</c:v>
                </c:pt>
                <c:pt idx="220">
                  <c:v>1122.3017724155879</c:v>
                </c:pt>
                <c:pt idx="221">
                  <c:v>1120.9477904620442</c:v>
                </c:pt>
                <c:pt idx="222">
                  <c:v>1119.5938085085004</c:v>
                </c:pt>
                <c:pt idx="223">
                  <c:v>1118.2398265549566</c:v>
                </c:pt>
                <c:pt idx="224">
                  <c:v>1116.8858446014128</c:v>
                </c:pt>
                <c:pt idx="225">
                  <c:v>1115.531862647869</c:v>
                </c:pt>
                <c:pt idx="226">
                  <c:v>1114.1778806943253</c:v>
                </c:pt>
                <c:pt idx="227">
                  <c:v>1112.8238987407815</c:v>
                </c:pt>
                <c:pt idx="228">
                  <c:v>1111.4699167872377</c:v>
                </c:pt>
                <c:pt idx="229">
                  <c:v>1110.1159348336939</c:v>
                </c:pt>
                <c:pt idx="230">
                  <c:v>1108.7619528801501</c:v>
                </c:pt>
                <c:pt idx="231">
                  <c:v>1107.4079709266064</c:v>
                </c:pt>
                <c:pt idx="232">
                  <c:v>1106.0539889730626</c:v>
                </c:pt>
                <c:pt idx="233">
                  <c:v>1104.7000070195188</c:v>
                </c:pt>
                <c:pt idx="234">
                  <c:v>1103.346025065975</c:v>
                </c:pt>
                <c:pt idx="235">
                  <c:v>1101.9920431124312</c:v>
                </c:pt>
                <c:pt idx="236">
                  <c:v>1100.6380611588875</c:v>
                </c:pt>
                <c:pt idx="237">
                  <c:v>1099.2840792053437</c:v>
                </c:pt>
                <c:pt idx="238">
                  <c:v>1097.9300972517999</c:v>
                </c:pt>
                <c:pt idx="239">
                  <c:v>1096.5761152982561</c:v>
                </c:pt>
                <c:pt idx="240">
                  <c:v>1093.1435044753048</c:v>
                </c:pt>
                <c:pt idx="241">
                  <c:v>1089.7108936523534</c:v>
                </c:pt>
                <c:pt idx="242">
                  <c:v>1086.2782828294021</c:v>
                </c:pt>
                <c:pt idx="243">
                  <c:v>1082.8456720064507</c:v>
                </c:pt>
                <c:pt idx="244">
                  <c:v>1079.4130611834994</c:v>
                </c:pt>
                <c:pt idx="245">
                  <c:v>1075.980450360548</c:v>
                </c:pt>
                <c:pt idx="246">
                  <c:v>1072.5478395375967</c:v>
                </c:pt>
                <c:pt idx="247">
                  <c:v>1069.1152287146454</c:v>
                </c:pt>
                <c:pt idx="248">
                  <c:v>1065.682617891694</c:v>
                </c:pt>
                <c:pt idx="249">
                  <c:v>929.62900000000002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Hydraulics!$AE$4:$AE$253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1078.4753696699975</c:v>
                </c:pt>
                <c:pt idx="2">
                  <c:v>1077.9327393399949</c:v>
                </c:pt>
                <c:pt idx="3">
                  <c:v>1277.3901090099923</c:v>
                </c:pt>
                <c:pt idx="4">
                  <c:v>1276.8474786799898</c:v>
                </c:pt>
                <c:pt idx="5">
                  <c:v>1276.3048483499872</c:v>
                </c:pt>
                <c:pt idx="6">
                  <c:v>1275.7622180199846</c:v>
                </c:pt>
                <c:pt idx="7">
                  <c:v>1275.2195876899821</c:v>
                </c:pt>
                <c:pt idx="8">
                  <c:v>1274.6769573599795</c:v>
                </c:pt>
                <c:pt idx="9">
                  <c:v>1274.1343270299769</c:v>
                </c:pt>
                <c:pt idx="10">
                  <c:v>1273.5916966999744</c:v>
                </c:pt>
                <c:pt idx="11">
                  <c:v>1273.0490663699718</c:v>
                </c:pt>
                <c:pt idx="12">
                  <c:v>1272.5064360399692</c:v>
                </c:pt>
                <c:pt idx="13">
                  <c:v>1271.9638057099667</c:v>
                </c:pt>
                <c:pt idx="14">
                  <c:v>1271.4211753799641</c:v>
                </c:pt>
                <c:pt idx="15">
                  <c:v>1270.8785450499615</c:v>
                </c:pt>
                <c:pt idx="16">
                  <c:v>1270.335914719959</c:v>
                </c:pt>
                <c:pt idx="17">
                  <c:v>1269.7932843899564</c:v>
                </c:pt>
                <c:pt idx="18">
                  <c:v>1269.2506540599538</c:v>
                </c:pt>
                <c:pt idx="19">
                  <c:v>1268.7080237299513</c:v>
                </c:pt>
                <c:pt idx="20">
                  <c:v>1268.1653933999487</c:v>
                </c:pt>
                <c:pt idx="21">
                  <c:v>1267.6227630699461</c:v>
                </c:pt>
                <c:pt idx="22">
                  <c:v>1267.0801327399436</c:v>
                </c:pt>
                <c:pt idx="23">
                  <c:v>1266.537502409941</c:v>
                </c:pt>
                <c:pt idx="24">
                  <c:v>1265.9948720799384</c:v>
                </c:pt>
                <c:pt idx="25">
                  <c:v>1265.4522417499359</c:v>
                </c:pt>
                <c:pt idx="26">
                  <c:v>1264.9096114199333</c:v>
                </c:pt>
                <c:pt idx="27">
                  <c:v>1264.3669810899307</c:v>
                </c:pt>
                <c:pt idx="28">
                  <c:v>1263.8243507599282</c:v>
                </c:pt>
                <c:pt idx="29">
                  <c:v>1263.2817204299256</c:v>
                </c:pt>
                <c:pt idx="30">
                  <c:v>1262.739090099923</c:v>
                </c:pt>
                <c:pt idx="31">
                  <c:v>1262.1964597699205</c:v>
                </c:pt>
                <c:pt idx="32">
                  <c:v>1261.6538294399179</c:v>
                </c:pt>
                <c:pt idx="33">
                  <c:v>1261.1111991099153</c:v>
                </c:pt>
                <c:pt idx="34">
                  <c:v>1260.5685687799128</c:v>
                </c:pt>
                <c:pt idx="35">
                  <c:v>1260.0259384499102</c:v>
                </c:pt>
                <c:pt idx="36">
                  <c:v>1259.4833081199076</c:v>
                </c:pt>
                <c:pt idx="37">
                  <c:v>1258.9406777899051</c:v>
                </c:pt>
                <c:pt idx="38">
                  <c:v>1258.3980474599025</c:v>
                </c:pt>
                <c:pt idx="39">
                  <c:v>1257.8554171298999</c:v>
                </c:pt>
                <c:pt idx="40">
                  <c:v>1257.3127867998974</c:v>
                </c:pt>
                <c:pt idx="41">
                  <c:v>1256.7701564698948</c:v>
                </c:pt>
                <c:pt idx="42">
                  <c:v>1256.2275261398922</c:v>
                </c:pt>
                <c:pt idx="43">
                  <c:v>1255.6848958098897</c:v>
                </c:pt>
                <c:pt idx="44">
                  <c:v>1255.1422654798871</c:v>
                </c:pt>
                <c:pt idx="45">
                  <c:v>1254.5996351498845</c:v>
                </c:pt>
                <c:pt idx="46">
                  <c:v>1254.057004819882</c:v>
                </c:pt>
                <c:pt idx="47">
                  <c:v>1253.5143744898794</c:v>
                </c:pt>
                <c:pt idx="48">
                  <c:v>1252.9717441598768</c:v>
                </c:pt>
                <c:pt idx="49">
                  <c:v>1252.4291138298743</c:v>
                </c:pt>
                <c:pt idx="50">
                  <c:v>1251.8864834998717</c:v>
                </c:pt>
                <c:pt idx="51">
                  <c:v>1251.3438531698691</c:v>
                </c:pt>
                <c:pt idx="52">
                  <c:v>1250.8012228398666</c:v>
                </c:pt>
                <c:pt idx="53">
                  <c:v>1250.258592509864</c:v>
                </c:pt>
                <c:pt idx="54">
                  <c:v>1249.7159621798614</c:v>
                </c:pt>
                <c:pt idx="55">
                  <c:v>1249.1733318498589</c:v>
                </c:pt>
                <c:pt idx="56">
                  <c:v>1248.6307015198563</c:v>
                </c:pt>
                <c:pt idx="57">
                  <c:v>1248.0880711898537</c:v>
                </c:pt>
                <c:pt idx="58">
                  <c:v>1247.5454408598512</c:v>
                </c:pt>
                <c:pt idx="59">
                  <c:v>1247.0028105298486</c:v>
                </c:pt>
                <c:pt idx="60">
                  <c:v>1246.460180199846</c:v>
                </c:pt>
                <c:pt idx="61">
                  <c:v>1245.9175498698435</c:v>
                </c:pt>
                <c:pt idx="62">
                  <c:v>1245.3749195398409</c:v>
                </c:pt>
                <c:pt idx="63">
                  <c:v>1244.8322892098383</c:v>
                </c:pt>
                <c:pt idx="64">
                  <c:v>1244.2896588798358</c:v>
                </c:pt>
                <c:pt idx="65">
                  <c:v>1243.7470285498332</c:v>
                </c:pt>
                <c:pt idx="66">
                  <c:v>1243.2043982198306</c:v>
                </c:pt>
                <c:pt idx="67">
                  <c:v>1242.6617678898281</c:v>
                </c:pt>
                <c:pt idx="68">
                  <c:v>1242.1191375598255</c:v>
                </c:pt>
                <c:pt idx="69">
                  <c:v>1241.5765072298229</c:v>
                </c:pt>
                <c:pt idx="70">
                  <c:v>1241.0338768998204</c:v>
                </c:pt>
                <c:pt idx="71">
                  <c:v>1240.4912465698178</c:v>
                </c:pt>
                <c:pt idx="72">
                  <c:v>1239.9486162398152</c:v>
                </c:pt>
                <c:pt idx="73">
                  <c:v>1239.4059859098127</c:v>
                </c:pt>
                <c:pt idx="74">
                  <c:v>1238.8633555798101</c:v>
                </c:pt>
                <c:pt idx="75">
                  <c:v>1238.3207252498075</c:v>
                </c:pt>
                <c:pt idx="76">
                  <c:v>1237.778094919805</c:v>
                </c:pt>
                <c:pt idx="77">
                  <c:v>1237.2354645898024</c:v>
                </c:pt>
                <c:pt idx="78">
                  <c:v>1236.6928342597998</c:v>
                </c:pt>
                <c:pt idx="79">
                  <c:v>1236.1502039297973</c:v>
                </c:pt>
                <c:pt idx="80">
                  <c:v>1235.6075735997947</c:v>
                </c:pt>
                <c:pt idx="81">
                  <c:v>1235.0649432697921</c:v>
                </c:pt>
                <c:pt idx="82">
                  <c:v>1234.5223129397896</c:v>
                </c:pt>
                <c:pt idx="83">
                  <c:v>1233.979682609787</c:v>
                </c:pt>
                <c:pt idx="84">
                  <c:v>1233.4370522797844</c:v>
                </c:pt>
                <c:pt idx="85">
                  <c:v>1232.8944219497819</c:v>
                </c:pt>
                <c:pt idx="86">
                  <c:v>1232.3517916197793</c:v>
                </c:pt>
                <c:pt idx="87">
                  <c:v>1231.8091612897767</c:v>
                </c:pt>
                <c:pt idx="88">
                  <c:v>1231.2665309597742</c:v>
                </c:pt>
                <c:pt idx="89">
                  <c:v>1230.7239006297716</c:v>
                </c:pt>
                <c:pt idx="90">
                  <c:v>1230.181270299769</c:v>
                </c:pt>
                <c:pt idx="91">
                  <c:v>1229.6386399697665</c:v>
                </c:pt>
                <c:pt idx="92">
                  <c:v>1229.0960096397639</c:v>
                </c:pt>
                <c:pt idx="93">
                  <c:v>1228.5533793097613</c:v>
                </c:pt>
                <c:pt idx="94">
                  <c:v>1228.0107489797588</c:v>
                </c:pt>
                <c:pt idx="95">
                  <c:v>1227.4681186497562</c:v>
                </c:pt>
                <c:pt idx="96">
                  <c:v>1226.9254883197536</c:v>
                </c:pt>
                <c:pt idx="97">
                  <c:v>1226.3828579897511</c:v>
                </c:pt>
                <c:pt idx="98">
                  <c:v>1225.8402276597485</c:v>
                </c:pt>
                <c:pt idx="99">
                  <c:v>1225.2975973297459</c:v>
                </c:pt>
                <c:pt idx="100">
                  <c:v>1224.7549669997434</c:v>
                </c:pt>
                <c:pt idx="101">
                  <c:v>1224.2123366697408</c:v>
                </c:pt>
                <c:pt idx="102">
                  <c:v>1223.6697063397382</c:v>
                </c:pt>
                <c:pt idx="103">
                  <c:v>1223.1270760097357</c:v>
                </c:pt>
                <c:pt idx="104">
                  <c:v>1222.5844456797331</c:v>
                </c:pt>
                <c:pt idx="105">
                  <c:v>1222.0418153497305</c:v>
                </c:pt>
                <c:pt idx="106">
                  <c:v>1221.499185019728</c:v>
                </c:pt>
                <c:pt idx="107">
                  <c:v>1220.9565546897254</c:v>
                </c:pt>
                <c:pt idx="108">
                  <c:v>1220.4139243597228</c:v>
                </c:pt>
                <c:pt idx="109">
                  <c:v>1219.8712940297203</c:v>
                </c:pt>
                <c:pt idx="110">
                  <c:v>1219.3286636997177</c:v>
                </c:pt>
                <c:pt idx="111">
                  <c:v>1218.7860333697151</c:v>
                </c:pt>
                <c:pt idx="112">
                  <c:v>1218.2434030397126</c:v>
                </c:pt>
                <c:pt idx="113">
                  <c:v>1217.70077270971</c:v>
                </c:pt>
                <c:pt idx="114">
                  <c:v>1217.1581423797074</c:v>
                </c:pt>
                <c:pt idx="115">
                  <c:v>1216.6155120497049</c:v>
                </c:pt>
                <c:pt idx="116">
                  <c:v>1216.0728817197023</c:v>
                </c:pt>
                <c:pt idx="117">
                  <c:v>1215.5302513896997</c:v>
                </c:pt>
                <c:pt idx="118">
                  <c:v>1214.9876210596972</c:v>
                </c:pt>
                <c:pt idx="119">
                  <c:v>1214.4449907296946</c:v>
                </c:pt>
                <c:pt idx="120">
                  <c:v>1213.902360399692</c:v>
                </c:pt>
                <c:pt idx="121">
                  <c:v>1213.3597300696895</c:v>
                </c:pt>
                <c:pt idx="122">
                  <c:v>1212.8170997396869</c:v>
                </c:pt>
                <c:pt idx="123">
                  <c:v>1212.2744694096843</c:v>
                </c:pt>
                <c:pt idx="124">
                  <c:v>1211.7318390796818</c:v>
                </c:pt>
                <c:pt idx="125">
                  <c:v>1211.1892087496792</c:v>
                </c:pt>
                <c:pt idx="126">
                  <c:v>1210.6465784196766</c:v>
                </c:pt>
                <c:pt idx="127">
                  <c:v>1210.1039480896741</c:v>
                </c:pt>
                <c:pt idx="128">
                  <c:v>1209.5613177596715</c:v>
                </c:pt>
                <c:pt idx="129">
                  <c:v>1209.0186874296689</c:v>
                </c:pt>
                <c:pt idx="130">
                  <c:v>1208.4760570996664</c:v>
                </c:pt>
                <c:pt idx="131">
                  <c:v>1207.9334267696638</c:v>
                </c:pt>
                <c:pt idx="132">
                  <c:v>1207.3907964396612</c:v>
                </c:pt>
                <c:pt idx="133">
                  <c:v>1206.8481661096587</c:v>
                </c:pt>
                <c:pt idx="134">
                  <c:v>1206.3055357796561</c:v>
                </c:pt>
                <c:pt idx="135">
                  <c:v>1205.7629054496535</c:v>
                </c:pt>
                <c:pt idx="136">
                  <c:v>1205.220275119651</c:v>
                </c:pt>
                <c:pt idx="137">
                  <c:v>1204.6776447896484</c:v>
                </c:pt>
                <c:pt idx="138">
                  <c:v>1204.1350144596458</c:v>
                </c:pt>
                <c:pt idx="139">
                  <c:v>1203.5923841296433</c:v>
                </c:pt>
                <c:pt idx="140">
                  <c:v>1203.0497537996407</c:v>
                </c:pt>
                <c:pt idx="141">
                  <c:v>1202.5071234696381</c:v>
                </c:pt>
                <c:pt idx="142">
                  <c:v>1201.9644931396356</c:v>
                </c:pt>
                <c:pt idx="143">
                  <c:v>1201.421862809633</c:v>
                </c:pt>
                <c:pt idx="144">
                  <c:v>1200.8792324796304</c:v>
                </c:pt>
                <c:pt idx="145">
                  <c:v>1200.3366021496279</c:v>
                </c:pt>
                <c:pt idx="146">
                  <c:v>1199.7939718196253</c:v>
                </c:pt>
                <c:pt idx="147">
                  <c:v>1199.2513414896227</c:v>
                </c:pt>
                <c:pt idx="148">
                  <c:v>1198.7087111596202</c:v>
                </c:pt>
                <c:pt idx="149">
                  <c:v>1198.1660808296176</c:v>
                </c:pt>
                <c:pt idx="150">
                  <c:v>1197.623450499615</c:v>
                </c:pt>
                <c:pt idx="151">
                  <c:v>1197.0808201696125</c:v>
                </c:pt>
                <c:pt idx="152">
                  <c:v>1196.5381898396099</c:v>
                </c:pt>
                <c:pt idx="153">
                  <c:v>1195.9955595096073</c:v>
                </c:pt>
                <c:pt idx="154">
                  <c:v>1195.4529291796048</c:v>
                </c:pt>
                <c:pt idx="155">
                  <c:v>1194.9102988496022</c:v>
                </c:pt>
                <c:pt idx="156">
                  <c:v>1194.3676685195996</c:v>
                </c:pt>
                <c:pt idx="157">
                  <c:v>1193.8250381895971</c:v>
                </c:pt>
                <c:pt idx="158">
                  <c:v>1193.2824078595945</c:v>
                </c:pt>
                <c:pt idx="159">
                  <c:v>1192.7397775295919</c:v>
                </c:pt>
                <c:pt idx="160">
                  <c:v>1192.1971471995894</c:v>
                </c:pt>
                <c:pt idx="161">
                  <c:v>1191.6545168695868</c:v>
                </c:pt>
                <c:pt idx="162">
                  <c:v>1191.1118865395842</c:v>
                </c:pt>
                <c:pt idx="163">
                  <c:v>1190.5692562095817</c:v>
                </c:pt>
                <c:pt idx="164">
                  <c:v>1189.0585587461885</c:v>
                </c:pt>
                <c:pt idx="165">
                  <c:v>1187.5478612827953</c:v>
                </c:pt>
                <c:pt idx="166">
                  <c:v>1186.0371638194022</c:v>
                </c:pt>
                <c:pt idx="167">
                  <c:v>1184.526466356009</c:v>
                </c:pt>
                <c:pt idx="168">
                  <c:v>1183.0157688926158</c:v>
                </c:pt>
                <c:pt idx="169">
                  <c:v>1181.5050714292227</c:v>
                </c:pt>
                <c:pt idx="170">
                  <c:v>1179.9943739658295</c:v>
                </c:pt>
                <c:pt idx="171">
                  <c:v>1178.4836765024363</c:v>
                </c:pt>
                <c:pt idx="172">
                  <c:v>1176.9729790390431</c:v>
                </c:pt>
                <c:pt idx="173">
                  <c:v>1175.46228157565</c:v>
                </c:pt>
                <c:pt idx="174">
                  <c:v>1173.9515841122568</c:v>
                </c:pt>
                <c:pt idx="175">
                  <c:v>1172.4408866488636</c:v>
                </c:pt>
                <c:pt idx="176">
                  <c:v>1170.9301891854705</c:v>
                </c:pt>
                <c:pt idx="177">
                  <c:v>1169.4194917220773</c:v>
                </c:pt>
                <c:pt idx="178">
                  <c:v>1167.9087942586841</c:v>
                </c:pt>
                <c:pt idx="179">
                  <c:v>1166.3980967952909</c:v>
                </c:pt>
                <c:pt idx="180">
                  <c:v>1164.8873993318978</c:v>
                </c:pt>
                <c:pt idx="181">
                  <c:v>1163.3767018685046</c:v>
                </c:pt>
                <c:pt idx="182">
                  <c:v>1161.8660044051114</c:v>
                </c:pt>
                <c:pt idx="183">
                  <c:v>1160.3553069417183</c:v>
                </c:pt>
                <c:pt idx="184">
                  <c:v>1158.8446094783251</c:v>
                </c:pt>
                <c:pt idx="185">
                  <c:v>1157.3339120149319</c:v>
                </c:pt>
                <c:pt idx="186">
                  <c:v>1155.8232145515387</c:v>
                </c:pt>
                <c:pt idx="187">
                  <c:v>1154.3125170881456</c:v>
                </c:pt>
                <c:pt idx="188">
                  <c:v>1152.8018196247524</c:v>
                </c:pt>
                <c:pt idx="189">
                  <c:v>1151.2911221613592</c:v>
                </c:pt>
                <c:pt idx="190">
                  <c:v>1149.7804246979661</c:v>
                </c:pt>
                <c:pt idx="191">
                  <c:v>1148.2697272345729</c:v>
                </c:pt>
                <c:pt idx="192">
                  <c:v>1146.7590297711797</c:v>
                </c:pt>
                <c:pt idx="193">
                  <c:v>1145.2483323077865</c:v>
                </c:pt>
                <c:pt idx="194">
                  <c:v>1143.7376348443934</c:v>
                </c:pt>
                <c:pt idx="195">
                  <c:v>1142.2269373810002</c:v>
                </c:pt>
                <c:pt idx="196">
                  <c:v>1140.716239917607</c:v>
                </c:pt>
                <c:pt idx="197">
                  <c:v>1139.2055424542139</c:v>
                </c:pt>
                <c:pt idx="198">
                  <c:v>1137.6948449908207</c:v>
                </c:pt>
                <c:pt idx="199">
                  <c:v>1136.1841475274275</c:v>
                </c:pt>
                <c:pt idx="200">
                  <c:v>1134.6734500640343</c:v>
                </c:pt>
                <c:pt idx="201">
                  <c:v>1133.1627526006412</c:v>
                </c:pt>
                <c:pt idx="202">
                  <c:v>1131.652055137248</c:v>
                </c:pt>
                <c:pt idx="203">
                  <c:v>1130.1413576738548</c:v>
                </c:pt>
                <c:pt idx="204">
                  <c:v>1128.6306602104617</c:v>
                </c:pt>
                <c:pt idx="205">
                  <c:v>1127.1199627470685</c:v>
                </c:pt>
                <c:pt idx="206">
                  <c:v>1125.6092652836753</c:v>
                </c:pt>
                <c:pt idx="207">
                  <c:v>1124.0985678202821</c:v>
                </c:pt>
                <c:pt idx="208">
                  <c:v>1122.587870356889</c:v>
                </c:pt>
                <c:pt idx="209">
                  <c:v>1121.0771728934958</c:v>
                </c:pt>
                <c:pt idx="210">
                  <c:v>1119.5664754301026</c:v>
                </c:pt>
                <c:pt idx="211">
                  <c:v>1118.0557779667095</c:v>
                </c:pt>
                <c:pt idx="212">
                  <c:v>1116.5450805033163</c:v>
                </c:pt>
                <c:pt idx="213">
                  <c:v>1115.0343830399231</c:v>
                </c:pt>
                <c:pt idx="214">
                  <c:v>1113.5236855765299</c:v>
                </c:pt>
                <c:pt idx="215">
                  <c:v>1112.0129881131368</c:v>
                </c:pt>
                <c:pt idx="216">
                  <c:v>1110.5022906497436</c:v>
                </c:pt>
                <c:pt idx="217">
                  <c:v>1108.9915931863504</c:v>
                </c:pt>
                <c:pt idx="218">
                  <c:v>1107.4808957229573</c:v>
                </c:pt>
                <c:pt idx="219">
                  <c:v>1105.9701982595641</c:v>
                </c:pt>
                <c:pt idx="220">
                  <c:v>1104.4595007961709</c:v>
                </c:pt>
                <c:pt idx="221">
                  <c:v>1102.9488033327777</c:v>
                </c:pt>
                <c:pt idx="222">
                  <c:v>1101.4381058693846</c:v>
                </c:pt>
                <c:pt idx="223">
                  <c:v>1099.9274084059914</c:v>
                </c:pt>
                <c:pt idx="224">
                  <c:v>1098.4167109425982</c:v>
                </c:pt>
                <c:pt idx="225">
                  <c:v>1096.9060134792051</c:v>
                </c:pt>
                <c:pt idx="226">
                  <c:v>1095.3953160158119</c:v>
                </c:pt>
                <c:pt idx="227">
                  <c:v>1093.8846185524187</c:v>
                </c:pt>
                <c:pt idx="228">
                  <c:v>1092.3739210890255</c:v>
                </c:pt>
                <c:pt idx="229">
                  <c:v>1090.8632236256324</c:v>
                </c:pt>
                <c:pt idx="230">
                  <c:v>1089.3525261622392</c:v>
                </c:pt>
                <c:pt idx="231">
                  <c:v>1087.841828698846</c:v>
                </c:pt>
                <c:pt idx="232">
                  <c:v>1086.3311312354529</c:v>
                </c:pt>
                <c:pt idx="233">
                  <c:v>1084.8204337720597</c:v>
                </c:pt>
                <c:pt idx="234">
                  <c:v>1083.3097363086665</c:v>
                </c:pt>
                <c:pt idx="235">
                  <c:v>1081.7990388452733</c:v>
                </c:pt>
                <c:pt idx="236">
                  <c:v>1080.2883413818802</c:v>
                </c:pt>
                <c:pt idx="237">
                  <c:v>1078.777643918487</c:v>
                </c:pt>
                <c:pt idx="238">
                  <c:v>1077.2669464550938</c:v>
                </c:pt>
                <c:pt idx="239">
                  <c:v>1075.7562489917007</c:v>
                </c:pt>
                <c:pt idx="240">
                  <c:v>1071.9152727875976</c:v>
                </c:pt>
                <c:pt idx="241">
                  <c:v>1068.0742965834945</c:v>
                </c:pt>
                <c:pt idx="242">
                  <c:v>1064.2333203793914</c:v>
                </c:pt>
                <c:pt idx="243">
                  <c:v>1060.3923441752884</c:v>
                </c:pt>
                <c:pt idx="244">
                  <c:v>1056.5513679711853</c:v>
                </c:pt>
                <c:pt idx="245">
                  <c:v>1052.7103917670822</c:v>
                </c:pt>
                <c:pt idx="246">
                  <c:v>1048.8694155629792</c:v>
                </c:pt>
                <c:pt idx="247">
                  <c:v>1045.0284393588761</c:v>
                </c:pt>
                <c:pt idx="248">
                  <c:v>1041.187463154773</c:v>
                </c:pt>
                <c:pt idx="249">
                  <c:v>929.62900000000002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Hydraulics!$AL$4:$AL$253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1078.3864998601712</c:v>
                </c:pt>
                <c:pt idx="2">
                  <c:v>1077.7549997203423</c:v>
                </c:pt>
                <c:pt idx="3">
                  <c:v>1277.1234995805135</c:v>
                </c:pt>
                <c:pt idx="4">
                  <c:v>1276.4919994406846</c:v>
                </c:pt>
                <c:pt idx="5">
                  <c:v>1275.8604993008557</c:v>
                </c:pt>
                <c:pt idx="6">
                  <c:v>1275.2289991610269</c:v>
                </c:pt>
                <c:pt idx="7">
                  <c:v>1274.597499021198</c:v>
                </c:pt>
                <c:pt idx="8">
                  <c:v>1273.9659988813692</c:v>
                </c:pt>
                <c:pt idx="9">
                  <c:v>1273.3344987415403</c:v>
                </c:pt>
                <c:pt idx="10">
                  <c:v>1272.7029986017114</c:v>
                </c:pt>
                <c:pt idx="11">
                  <c:v>1272.0714984618826</c:v>
                </c:pt>
                <c:pt idx="12">
                  <c:v>1271.4399983220537</c:v>
                </c:pt>
                <c:pt idx="13">
                  <c:v>1270.8084981822249</c:v>
                </c:pt>
                <c:pt idx="14">
                  <c:v>1270.176998042396</c:v>
                </c:pt>
                <c:pt idx="15">
                  <c:v>1269.5454979025671</c:v>
                </c:pt>
                <c:pt idx="16">
                  <c:v>1268.9139977627383</c:v>
                </c:pt>
                <c:pt idx="17">
                  <c:v>1268.2824976229094</c:v>
                </c:pt>
                <c:pt idx="18">
                  <c:v>1267.6509974830806</c:v>
                </c:pt>
                <c:pt idx="19">
                  <c:v>1267.0194973432517</c:v>
                </c:pt>
                <c:pt idx="20">
                  <c:v>1266.3879972034229</c:v>
                </c:pt>
                <c:pt idx="21">
                  <c:v>1265.756497063594</c:v>
                </c:pt>
                <c:pt idx="22">
                  <c:v>1265.1249969237651</c:v>
                </c:pt>
                <c:pt idx="23">
                  <c:v>1264.4934967839363</c:v>
                </c:pt>
                <c:pt idx="24">
                  <c:v>1263.8619966441074</c:v>
                </c:pt>
                <c:pt idx="25">
                  <c:v>1263.2304965042786</c:v>
                </c:pt>
                <c:pt idx="26">
                  <c:v>1262.5989963644497</c:v>
                </c:pt>
                <c:pt idx="27">
                  <c:v>1261.9674962246208</c:v>
                </c:pt>
                <c:pt idx="28">
                  <c:v>1261.335996084792</c:v>
                </c:pt>
                <c:pt idx="29">
                  <c:v>1260.7044959449631</c:v>
                </c:pt>
                <c:pt idx="30">
                  <c:v>1260.0729958051343</c:v>
                </c:pt>
                <c:pt idx="31">
                  <c:v>1259.4414956653054</c:v>
                </c:pt>
                <c:pt idx="32">
                  <c:v>1258.8099955254766</c:v>
                </c:pt>
                <c:pt idx="33">
                  <c:v>1258.1784953856477</c:v>
                </c:pt>
                <c:pt idx="34">
                  <c:v>1257.5469952458188</c:v>
                </c:pt>
                <c:pt idx="35">
                  <c:v>1256.91549510599</c:v>
                </c:pt>
                <c:pt idx="36">
                  <c:v>1256.2839949661611</c:v>
                </c:pt>
                <c:pt idx="37">
                  <c:v>1255.6524948263323</c:v>
                </c:pt>
                <c:pt idx="38">
                  <c:v>1255.0209946865034</c:v>
                </c:pt>
                <c:pt idx="39">
                  <c:v>1254.3894945466745</c:v>
                </c:pt>
                <c:pt idx="40">
                  <c:v>1253.7579944068457</c:v>
                </c:pt>
                <c:pt idx="41">
                  <c:v>1253.1264942670168</c:v>
                </c:pt>
                <c:pt idx="42">
                  <c:v>1252.494994127188</c:v>
                </c:pt>
                <c:pt idx="43">
                  <c:v>1251.8634939873591</c:v>
                </c:pt>
                <c:pt idx="44">
                  <c:v>1251.2319938475302</c:v>
                </c:pt>
                <c:pt idx="45">
                  <c:v>1250.6004937077014</c:v>
                </c:pt>
                <c:pt idx="46">
                  <c:v>1249.9689935678725</c:v>
                </c:pt>
                <c:pt idx="47">
                  <c:v>1249.3374934280437</c:v>
                </c:pt>
                <c:pt idx="48">
                  <c:v>1248.7059932882148</c:v>
                </c:pt>
                <c:pt idx="49">
                  <c:v>1248.074493148386</c:v>
                </c:pt>
                <c:pt idx="50">
                  <c:v>1247.4429930085571</c:v>
                </c:pt>
                <c:pt idx="51">
                  <c:v>1246.8114928687282</c:v>
                </c:pt>
                <c:pt idx="52">
                  <c:v>1246.1799927288994</c:v>
                </c:pt>
                <c:pt idx="53">
                  <c:v>1245.5484925890705</c:v>
                </c:pt>
                <c:pt idx="54">
                  <c:v>1244.9169924492417</c:v>
                </c:pt>
                <c:pt idx="55">
                  <c:v>1244.2854923094128</c:v>
                </c:pt>
                <c:pt idx="56">
                  <c:v>1243.6539921695839</c:v>
                </c:pt>
                <c:pt idx="57">
                  <c:v>1243.0224920297551</c:v>
                </c:pt>
                <c:pt idx="58">
                  <c:v>1242.3909918899262</c:v>
                </c:pt>
                <c:pt idx="59">
                  <c:v>1241.7594917500974</c:v>
                </c:pt>
                <c:pt idx="60">
                  <c:v>1241.1279916102685</c:v>
                </c:pt>
                <c:pt idx="61">
                  <c:v>1240.4964914704397</c:v>
                </c:pt>
                <c:pt idx="62">
                  <c:v>1239.8649913306108</c:v>
                </c:pt>
                <c:pt idx="63">
                  <c:v>1239.2334911907819</c:v>
                </c:pt>
                <c:pt idx="64">
                  <c:v>1238.6019910509531</c:v>
                </c:pt>
                <c:pt idx="65">
                  <c:v>1237.9704909111242</c:v>
                </c:pt>
                <c:pt idx="66">
                  <c:v>1237.3389907712954</c:v>
                </c:pt>
                <c:pt idx="67">
                  <c:v>1236.7074906314665</c:v>
                </c:pt>
                <c:pt idx="68">
                  <c:v>1236.0759904916376</c:v>
                </c:pt>
                <c:pt idx="69">
                  <c:v>1235.4444903518088</c:v>
                </c:pt>
                <c:pt idx="70">
                  <c:v>1234.8129902119799</c:v>
                </c:pt>
                <c:pt idx="71">
                  <c:v>1234.1814900721511</c:v>
                </c:pt>
                <c:pt idx="72">
                  <c:v>1233.5499899323222</c:v>
                </c:pt>
                <c:pt idx="73">
                  <c:v>1232.9184897924933</c:v>
                </c:pt>
                <c:pt idx="74">
                  <c:v>1232.2869896526645</c:v>
                </c:pt>
                <c:pt idx="75">
                  <c:v>1231.6554895128356</c:v>
                </c:pt>
                <c:pt idx="76">
                  <c:v>1231.0239893730068</c:v>
                </c:pt>
                <c:pt idx="77">
                  <c:v>1230.3924892331779</c:v>
                </c:pt>
                <c:pt idx="78">
                  <c:v>1229.7609890933491</c:v>
                </c:pt>
                <c:pt idx="79">
                  <c:v>1229.1294889535202</c:v>
                </c:pt>
                <c:pt idx="80">
                  <c:v>1228.4979888136913</c:v>
                </c:pt>
                <c:pt idx="81">
                  <c:v>1227.8664886738625</c:v>
                </c:pt>
                <c:pt idx="82">
                  <c:v>1227.2349885340336</c:v>
                </c:pt>
                <c:pt idx="83">
                  <c:v>1226.6034883942048</c:v>
                </c:pt>
                <c:pt idx="84">
                  <c:v>1225.9719882543759</c:v>
                </c:pt>
                <c:pt idx="85">
                  <c:v>1225.340488114547</c:v>
                </c:pt>
                <c:pt idx="86">
                  <c:v>1224.7089879747182</c:v>
                </c:pt>
                <c:pt idx="87">
                  <c:v>1224.0774878348893</c:v>
                </c:pt>
                <c:pt idx="88">
                  <c:v>1223.4459876950605</c:v>
                </c:pt>
                <c:pt idx="89">
                  <c:v>1222.8144875552316</c:v>
                </c:pt>
                <c:pt idx="90">
                  <c:v>1222.1829874154027</c:v>
                </c:pt>
                <c:pt idx="91">
                  <c:v>1221.5514872755739</c:v>
                </c:pt>
                <c:pt idx="92">
                  <c:v>1220.919987135745</c:v>
                </c:pt>
                <c:pt idx="93">
                  <c:v>1220.2884869959162</c:v>
                </c:pt>
                <c:pt idx="94">
                  <c:v>1219.6569868560873</c:v>
                </c:pt>
                <c:pt idx="95">
                  <c:v>1219.0254867162585</c:v>
                </c:pt>
                <c:pt idx="96">
                  <c:v>1218.3939865764296</c:v>
                </c:pt>
                <c:pt idx="97">
                  <c:v>1217.7624864366007</c:v>
                </c:pt>
                <c:pt idx="98">
                  <c:v>1217.1309862967719</c:v>
                </c:pt>
                <c:pt idx="99">
                  <c:v>1216.499486156943</c:v>
                </c:pt>
                <c:pt idx="100">
                  <c:v>1215.8679860171142</c:v>
                </c:pt>
                <c:pt idx="101">
                  <c:v>1215.2364858772853</c:v>
                </c:pt>
                <c:pt idx="102">
                  <c:v>1214.6049857374564</c:v>
                </c:pt>
                <c:pt idx="103">
                  <c:v>1213.9734855976276</c:v>
                </c:pt>
                <c:pt idx="104">
                  <c:v>1213.3419854577987</c:v>
                </c:pt>
                <c:pt idx="105">
                  <c:v>1212.7104853179699</c:v>
                </c:pt>
                <c:pt idx="106">
                  <c:v>1212.078985178141</c:v>
                </c:pt>
                <c:pt idx="107">
                  <c:v>1211.4474850383122</c:v>
                </c:pt>
                <c:pt idx="108">
                  <c:v>1210.8159848984833</c:v>
                </c:pt>
                <c:pt idx="109">
                  <c:v>1210.1844847586544</c:v>
                </c:pt>
                <c:pt idx="110">
                  <c:v>1209.5529846188256</c:v>
                </c:pt>
                <c:pt idx="111">
                  <c:v>1208.9214844789967</c:v>
                </c:pt>
                <c:pt idx="112">
                  <c:v>1208.2899843391679</c:v>
                </c:pt>
                <c:pt idx="113">
                  <c:v>1207.658484199339</c:v>
                </c:pt>
                <c:pt idx="114">
                  <c:v>1207.0269840595101</c:v>
                </c:pt>
                <c:pt idx="115">
                  <c:v>1206.3954839196813</c:v>
                </c:pt>
                <c:pt idx="116">
                  <c:v>1205.7639837798524</c:v>
                </c:pt>
                <c:pt idx="117">
                  <c:v>1205.1324836400236</c:v>
                </c:pt>
                <c:pt idx="118">
                  <c:v>1204.5009835001947</c:v>
                </c:pt>
                <c:pt idx="119">
                  <c:v>1203.8694833603658</c:v>
                </c:pt>
                <c:pt idx="120">
                  <c:v>1203.237983220537</c:v>
                </c:pt>
                <c:pt idx="121">
                  <c:v>1202.6064830807081</c:v>
                </c:pt>
                <c:pt idx="122">
                  <c:v>1201.9749829408793</c:v>
                </c:pt>
                <c:pt idx="123">
                  <c:v>1201.3434828010504</c:v>
                </c:pt>
                <c:pt idx="124">
                  <c:v>1200.7119826612216</c:v>
                </c:pt>
                <c:pt idx="125">
                  <c:v>1200.0804825213927</c:v>
                </c:pt>
                <c:pt idx="126">
                  <c:v>1199.4489823815638</c:v>
                </c:pt>
                <c:pt idx="127">
                  <c:v>1198.817482241735</c:v>
                </c:pt>
                <c:pt idx="128">
                  <c:v>1198.1859821019061</c:v>
                </c:pt>
                <c:pt idx="129">
                  <c:v>1197.5544819620773</c:v>
                </c:pt>
                <c:pt idx="130">
                  <c:v>1196.9229818222484</c:v>
                </c:pt>
                <c:pt idx="131">
                  <c:v>1196.2914816824195</c:v>
                </c:pt>
                <c:pt idx="132">
                  <c:v>1195.6599815425907</c:v>
                </c:pt>
                <c:pt idx="133">
                  <c:v>1195.0284814027618</c:v>
                </c:pt>
                <c:pt idx="134">
                  <c:v>1194.396981262933</c:v>
                </c:pt>
                <c:pt idx="135">
                  <c:v>1193.7654811231041</c:v>
                </c:pt>
                <c:pt idx="136">
                  <c:v>1193.1339809832753</c:v>
                </c:pt>
                <c:pt idx="137">
                  <c:v>1192.5024808434464</c:v>
                </c:pt>
                <c:pt idx="138">
                  <c:v>1191.8709807036175</c:v>
                </c:pt>
                <c:pt idx="139">
                  <c:v>1191.2394805637887</c:v>
                </c:pt>
                <c:pt idx="140">
                  <c:v>1190.6079804239598</c:v>
                </c:pt>
                <c:pt idx="141">
                  <c:v>1189.976480284131</c:v>
                </c:pt>
                <c:pt idx="142">
                  <c:v>1189.3449801443021</c:v>
                </c:pt>
                <c:pt idx="143">
                  <c:v>1188.7134800044732</c:v>
                </c:pt>
                <c:pt idx="144">
                  <c:v>1188.0819798646444</c:v>
                </c:pt>
                <c:pt idx="145">
                  <c:v>1187.4504797248155</c:v>
                </c:pt>
                <c:pt idx="146">
                  <c:v>1186.8189795849867</c:v>
                </c:pt>
                <c:pt idx="147">
                  <c:v>1186.1874794451578</c:v>
                </c:pt>
                <c:pt idx="148">
                  <c:v>1185.5559793053289</c:v>
                </c:pt>
                <c:pt idx="149">
                  <c:v>1184.9244791655001</c:v>
                </c:pt>
                <c:pt idx="150">
                  <c:v>1184.2929790256712</c:v>
                </c:pt>
                <c:pt idx="151">
                  <c:v>1183.6614788858424</c:v>
                </c:pt>
                <c:pt idx="152">
                  <c:v>1183.0299787460135</c:v>
                </c:pt>
                <c:pt idx="153">
                  <c:v>1182.3984786061847</c:v>
                </c:pt>
                <c:pt idx="154">
                  <c:v>1181.7669784663558</c:v>
                </c:pt>
                <c:pt idx="155">
                  <c:v>1181.1354783265269</c:v>
                </c:pt>
                <c:pt idx="156">
                  <c:v>1180.5039781866981</c:v>
                </c:pt>
                <c:pt idx="157">
                  <c:v>1179.8724780468692</c:v>
                </c:pt>
                <c:pt idx="158">
                  <c:v>1179.2409779070404</c:v>
                </c:pt>
                <c:pt idx="159">
                  <c:v>1178.6094777672115</c:v>
                </c:pt>
                <c:pt idx="160">
                  <c:v>1177.9779776273826</c:v>
                </c:pt>
                <c:pt idx="161">
                  <c:v>1177.3464774875538</c:v>
                </c:pt>
                <c:pt idx="162">
                  <c:v>1176.7149773477249</c:v>
                </c:pt>
                <c:pt idx="163">
                  <c:v>1176.0834772078961</c:v>
                </c:pt>
                <c:pt idx="164">
                  <c:v>1174.3170521540628</c:v>
                </c:pt>
                <c:pt idx="165">
                  <c:v>1172.5506271002296</c:v>
                </c:pt>
                <c:pt idx="166">
                  <c:v>1170.7842020463963</c:v>
                </c:pt>
                <c:pt idx="167">
                  <c:v>1169.0177769925631</c:v>
                </c:pt>
                <c:pt idx="168">
                  <c:v>1167.2513519387298</c:v>
                </c:pt>
                <c:pt idx="169">
                  <c:v>1165.4849268848966</c:v>
                </c:pt>
                <c:pt idx="170">
                  <c:v>1163.7185018310633</c:v>
                </c:pt>
                <c:pt idx="171">
                  <c:v>1161.9520767772301</c:v>
                </c:pt>
                <c:pt idx="172">
                  <c:v>1160.1856517233969</c:v>
                </c:pt>
                <c:pt idx="173">
                  <c:v>1158.4192266695636</c:v>
                </c:pt>
                <c:pt idx="174">
                  <c:v>1156.6528016157304</c:v>
                </c:pt>
                <c:pt idx="175">
                  <c:v>1154.8863765618971</c:v>
                </c:pt>
                <c:pt idx="176">
                  <c:v>1153.1199515080639</c:v>
                </c:pt>
                <c:pt idx="177">
                  <c:v>1151.3535264542306</c:v>
                </c:pt>
                <c:pt idx="178">
                  <c:v>1149.5871014003974</c:v>
                </c:pt>
                <c:pt idx="179">
                  <c:v>1147.8206763465641</c:v>
                </c:pt>
                <c:pt idx="180">
                  <c:v>1146.0542512927309</c:v>
                </c:pt>
                <c:pt idx="181">
                  <c:v>1144.2878262388977</c:v>
                </c:pt>
                <c:pt idx="182">
                  <c:v>1142.5214011850644</c:v>
                </c:pt>
                <c:pt idx="183">
                  <c:v>1140.7549761312312</c:v>
                </c:pt>
                <c:pt idx="184">
                  <c:v>1138.9885510773979</c:v>
                </c:pt>
                <c:pt idx="185">
                  <c:v>1137.2221260235647</c:v>
                </c:pt>
                <c:pt idx="186">
                  <c:v>1135.4557009697314</c:v>
                </c:pt>
                <c:pt idx="187">
                  <c:v>1133.6892759158982</c:v>
                </c:pt>
                <c:pt idx="188">
                  <c:v>1131.9228508620649</c:v>
                </c:pt>
                <c:pt idx="189">
                  <c:v>1130.1564258082317</c:v>
                </c:pt>
                <c:pt idx="190">
                  <c:v>1128.3900007543984</c:v>
                </c:pt>
                <c:pt idx="191">
                  <c:v>1126.6235757005652</c:v>
                </c:pt>
                <c:pt idx="192">
                  <c:v>1124.857150646732</c:v>
                </c:pt>
                <c:pt idx="193">
                  <c:v>1123.0907255928987</c:v>
                </c:pt>
                <c:pt idx="194">
                  <c:v>1121.3243005390655</c:v>
                </c:pt>
                <c:pt idx="195">
                  <c:v>1119.5578754852322</c:v>
                </c:pt>
                <c:pt idx="196">
                  <c:v>1117.791450431399</c:v>
                </c:pt>
                <c:pt idx="197">
                  <c:v>1116.0250253775657</c:v>
                </c:pt>
                <c:pt idx="198">
                  <c:v>1114.2586003237325</c:v>
                </c:pt>
                <c:pt idx="199">
                  <c:v>1112.4921752698992</c:v>
                </c:pt>
                <c:pt idx="200">
                  <c:v>1110.725750216066</c:v>
                </c:pt>
                <c:pt idx="201">
                  <c:v>1108.9593251622327</c:v>
                </c:pt>
                <c:pt idx="202">
                  <c:v>1107.1929001083995</c:v>
                </c:pt>
                <c:pt idx="203">
                  <c:v>1105.4264750545663</c:v>
                </c:pt>
                <c:pt idx="204">
                  <c:v>1103.660050000733</c:v>
                </c:pt>
                <c:pt idx="205">
                  <c:v>1101.8936249468998</c:v>
                </c:pt>
                <c:pt idx="206">
                  <c:v>1100.1271998930665</c:v>
                </c:pt>
                <c:pt idx="207">
                  <c:v>1098.3607748392333</c:v>
                </c:pt>
                <c:pt idx="208">
                  <c:v>1096.5943497854</c:v>
                </c:pt>
                <c:pt idx="209">
                  <c:v>1094.8279247315668</c:v>
                </c:pt>
                <c:pt idx="210">
                  <c:v>1093.0614996777335</c:v>
                </c:pt>
                <c:pt idx="211">
                  <c:v>1091.2950746239003</c:v>
                </c:pt>
                <c:pt idx="212">
                  <c:v>1089.528649570067</c:v>
                </c:pt>
                <c:pt idx="213">
                  <c:v>1087.7622245162338</c:v>
                </c:pt>
                <c:pt idx="214">
                  <c:v>1085.9957994624006</c:v>
                </c:pt>
                <c:pt idx="215">
                  <c:v>1084.2293744085673</c:v>
                </c:pt>
                <c:pt idx="216">
                  <c:v>1082.4629493547341</c:v>
                </c:pt>
                <c:pt idx="217">
                  <c:v>1080.6965243009008</c:v>
                </c:pt>
                <c:pt idx="218">
                  <c:v>1078.9300992470676</c:v>
                </c:pt>
                <c:pt idx="219">
                  <c:v>1077.1636741932343</c:v>
                </c:pt>
                <c:pt idx="220">
                  <c:v>1075.3972491394011</c:v>
                </c:pt>
                <c:pt idx="221">
                  <c:v>1073.6308240855678</c:v>
                </c:pt>
                <c:pt idx="222">
                  <c:v>1071.8643990317346</c:v>
                </c:pt>
                <c:pt idx="223">
                  <c:v>1070.0979739779013</c:v>
                </c:pt>
                <c:pt idx="224">
                  <c:v>1068.3315489240681</c:v>
                </c:pt>
                <c:pt idx="225">
                  <c:v>1066.5651238702349</c:v>
                </c:pt>
                <c:pt idx="226">
                  <c:v>1064.7986988164016</c:v>
                </c:pt>
                <c:pt idx="227">
                  <c:v>1063.0322737625684</c:v>
                </c:pt>
                <c:pt idx="228">
                  <c:v>1061.2658487087351</c:v>
                </c:pt>
                <c:pt idx="229">
                  <c:v>1059.4994236549019</c:v>
                </c:pt>
                <c:pt idx="230">
                  <c:v>1057.7329986010686</c:v>
                </c:pt>
                <c:pt idx="231">
                  <c:v>1055.9665735472354</c:v>
                </c:pt>
                <c:pt idx="232">
                  <c:v>1054.2001484934021</c:v>
                </c:pt>
                <c:pt idx="233">
                  <c:v>1052.4337234395689</c:v>
                </c:pt>
                <c:pt idx="234">
                  <c:v>1050.6672983857356</c:v>
                </c:pt>
                <c:pt idx="235">
                  <c:v>1048.9008733319024</c:v>
                </c:pt>
                <c:pt idx="236">
                  <c:v>1047.1344482780692</c:v>
                </c:pt>
                <c:pt idx="237">
                  <c:v>1045.3680232242359</c:v>
                </c:pt>
                <c:pt idx="238">
                  <c:v>1043.6015981704027</c:v>
                </c:pt>
                <c:pt idx="239">
                  <c:v>1041.8351731165694</c:v>
                </c:pt>
                <c:pt idx="240">
                  <c:v>1037.3255517985776</c:v>
                </c:pt>
                <c:pt idx="241">
                  <c:v>1032.8159304805858</c:v>
                </c:pt>
                <c:pt idx="242">
                  <c:v>1028.3063091625941</c:v>
                </c:pt>
                <c:pt idx="243">
                  <c:v>1023.7966878446022</c:v>
                </c:pt>
                <c:pt idx="244">
                  <c:v>1019.2870665266103</c:v>
                </c:pt>
                <c:pt idx="245">
                  <c:v>1014.7774452086184</c:v>
                </c:pt>
                <c:pt idx="246">
                  <c:v>1010.2678238906265</c:v>
                </c:pt>
                <c:pt idx="247">
                  <c:v>1005.7582025726346</c:v>
                </c:pt>
                <c:pt idx="248">
                  <c:v>1001.2485812546427</c:v>
                </c:pt>
                <c:pt idx="249">
                  <c:v>929.62900000000002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Hydraulics!$AS$4:$AS$253</c:f>
              <c:numCache>
                <c:formatCode>General</c:formatCode>
                <c:ptCount val="250"/>
                <c:pt idx="0">
                  <c:v>1079.018</c:v>
                </c:pt>
                <c:pt idx="1">
                  <c:v>1078.2259505993218</c:v>
                </c:pt>
                <c:pt idx="2">
                  <c:v>1077.4339011986435</c:v>
                </c:pt>
                <c:pt idx="3">
                  <c:v>1276.6418517979653</c:v>
                </c:pt>
                <c:pt idx="4">
                  <c:v>1275.849802397287</c:v>
                </c:pt>
                <c:pt idx="5">
                  <c:v>1275.0577529966088</c:v>
                </c:pt>
                <c:pt idx="6">
                  <c:v>1274.2657035959305</c:v>
                </c:pt>
                <c:pt idx="7">
                  <c:v>1273.4736541952523</c:v>
                </c:pt>
                <c:pt idx="8">
                  <c:v>1272.681604794574</c:v>
                </c:pt>
                <c:pt idx="9">
                  <c:v>1271.8895553938958</c:v>
                </c:pt>
                <c:pt idx="10">
                  <c:v>1271.0975059932175</c:v>
                </c:pt>
                <c:pt idx="11">
                  <c:v>1270.3054565925393</c:v>
                </c:pt>
                <c:pt idx="12">
                  <c:v>1269.513407191861</c:v>
                </c:pt>
                <c:pt idx="13">
                  <c:v>1268.7213577911828</c:v>
                </c:pt>
                <c:pt idx="14">
                  <c:v>1267.9293083905045</c:v>
                </c:pt>
                <c:pt idx="15">
                  <c:v>1267.1372589898263</c:v>
                </c:pt>
                <c:pt idx="16">
                  <c:v>1266.345209589148</c:v>
                </c:pt>
                <c:pt idx="17">
                  <c:v>1265.5531601884697</c:v>
                </c:pt>
                <c:pt idx="18">
                  <c:v>1264.7611107877915</c:v>
                </c:pt>
                <c:pt idx="19">
                  <c:v>1263.9690613871132</c:v>
                </c:pt>
                <c:pt idx="20">
                  <c:v>1263.177011986435</c:v>
                </c:pt>
                <c:pt idx="21">
                  <c:v>1262.3849625857567</c:v>
                </c:pt>
                <c:pt idx="22">
                  <c:v>1261.5929131850785</c:v>
                </c:pt>
                <c:pt idx="23">
                  <c:v>1260.8008637844002</c:v>
                </c:pt>
                <c:pt idx="24">
                  <c:v>1260.008814383722</c:v>
                </c:pt>
                <c:pt idx="25">
                  <c:v>1259.2167649830437</c:v>
                </c:pt>
                <c:pt idx="26">
                  <c:v>1258.4247155823655</c:v>
                </c:pt>
                <c:pt idx="27">
                  <c:v>1257.6326661816872</c:v>
                </c:pt>
                <c:pt idx="28">
                  <c:v>1256.840616781009</c:v>
                </c:pt>
                <c:pt idx="29">
                  <c:v>1256.0485673803307</c:v>
                </c:pt>
                <c:pt idx="30">
                  <c:v>1255.2565179796525</c:v>
                </c:pt>
                <c:pt idx="31">
                  <c:v>1254.4644685789742</c:v>
                </c:pt>
                <c:pt idx="32">
                  <c:v>1253.672419178296</c:v>
                </c:pt>
                <c:pt idx="33">
                  <c:v>1252.8803697776177</c:v>
                </c:pt>
                <c:pt idx="34">
                  <c:v>1252.0883203769395</c:v>
                </c:pt>
                <c:pt idx="35">
                  <c:v>1251.2962709762612</c:v>
                </c:pt>
                <c:pt idx="36">
                  <c:v>1250.504221575583</c:v>
                </c:pt>
                <c:pt idx="37">
                  <c:v>1249.7121721749047</c:v>
                </c:pt>
                <c:pt idx="38">
                  <c:v>1248.9201227742265</c:v>
                </c:pt>
                <c:pt idx="39">
                  <c:v>1248.1280733735482</c:v>
                </c:pt>
                <c:pt idx="40">
                  <c:v>1247.33602397287</c:v>
                </c:pt>
                <c:pt idx="41">
                  <c:v>1246.5439745721917</c:v>
                </c:pt>
                <c:pt idx="42">
                  <c:v>1245.7519251715134</c:v>
                </c:pt>
                <c:pt idx="43">
                  <c:v>1244.9598757708352</c:v>
                </c:pt>
                <c:pt idx="44">
                  <c:v>1244.1678263701569</c:v>
                </c:pt>
                <c:pt idx="45">
                  <c:v>1243.3757769694787</c:v>
                </c:pt>
                <c:pt idx="46">
                  <c:v>1242.5837275688004</c:v>
                </c:pt>
                <c:pt idx="47">
                  <c:v>1241.7916781681222</c:v>
                </c:pt>
                <c:pt idx="48">
                  <c:v>1240.9996287674439</c:v>
                </c:pt>
                <c:pt idx="49">
                  <c:v>1240.2075793667657</c:v>
                </c:pt>
                <c:pt idx="50">
                  <c:v>1239.4155299660874</c:v>
                </c:pt>
                <c:pt idx="51">
                  <c:v>1238.6234805654092</c:v>
                </c:pt>
                <c:pt idx="52">
                  <c:v>1237.8314311647309</c:v>
                </c:pt>
                <c:pt idx="53">
                  <c:v>1237.0393817640527</c:v>
                </c:pt>
                <c:pt idx="54">
                  <c:v>1236.2473323633744</c:v>
                </c:pt>
                <c:pt idx="55">
                  <c:v>1235.4552829626962</c:v>
                </c:pt>
                <c:pt idx="56">
                  <c:v>1234.6632335620179</c:v>
                </c:pt>
                <c:pt idx="57">
                  <c:v>1233.8711841613397</c:v>
                </c:pt>
                <c:pt idx="58">
                  <c:v>1233.0791347606614</c:v>
                </c:pt>
                <c:pt idx="59">
                  <c:v>1232.2870853599832</c:v>
                </c:pt>
                <c:pt idx="60">
                  <c:v>1231.4950359593049</c:v>
                </c:pt>
                <c:pt idx="61">
                  <c:v>1230.7029865586267</c:v>
                </c:pt>
                <c:pt idx="62">
                  <c:v>1229.9109371579484</c:v>
                </c:pt>
                <c:pt idx="63">
                  <c:v>1229.1188877572702</c:v>
                </c:pt>
                <c:pt idx="64">
                  <c:v>1228.3268383565919</c:v>
                </c:pt>
                <c:pt idx="65">
                  <c:v>1227.5347889559137</c:v>
                </c:pt>
                <c:pt idx="66">
                  <c:v>1226.7427395552354</c:v>
                </c:pt>
                <c:pt idx="67">
                  <c:v>1225.9506901545572</c:v>
                </c:pt>
                <c:pt idx="68">
                  <c:v>1225.1586407538789</c:v>
                </c:pt>
                <c:pt idx="69">
                  <c:v>1224.3665913532006</c:v>
                </c:pt>
                <c:pt idx="70">
                  <c:v>1223.5745419525224</c:v>
                </c:pt>
                <c:pt idx="71">
                  <c:v>1222.7824925518441</c:v>
                </c:pt>
                <c:pt idx="72">
                  <c:v>1221.9904431511659</c:v>
                </c:pt>
                <c:pt idx="73">
                  <c:v>1221.1983937504876</c:v>
                </c:pt>
                <c:pt idx="74">
                  <c:v>1220.4063443498094</c:v>
                </c:pt>
                <c:pt idx="75">
                  <c:v>1219.6142949491311</c:v>
                </c:pt>
                <c:pt idx="76">
                  <c:v>1218.8222455484529</c:v>
                </c:pt>
                <c:pt idx="77">
                  <c:v>1218.0301961477746</c:v>
                </c:pt>
                <c:pt idx="78">
                  <c:v>1217.2381467470964</c:v>
                </c:pt>
                <c:pt idx="79">
                  <c:v>1216.4460973464181</c:v>
                </c:pt>
                <c:pt idx="80">
                  <c:v>1215.6540479457399</c:v>
                </c:pt>
                <c:pt idx="81">
                  <c:v>1214.8619985450616</c:v>
                </c:pt>
                <c:pt idx="82">
                  <c:v>1214.0699491443834</c:v>
                </c:pt>
                <c:pt idx="83">
                  <c:v>1213.2778997437051</c:v>
                </c:pt>
                <c:pt idx="84">
                  <c:v>1212.4858503430269</c:v>
                </c:pt>
                <c:pt idx="85">
                  <c:v>1211.6938009423486</c:v>
                </c:pt>
                <c:pt idx="86">
                  <c:v>1210.9017515416704</c:v>
                </c:pt>
                <c:pt idx="87">
                  <c:v>1210.1097021409921</c:v>
                </c:pt>
                <c:pt idx="88">
                  <c:v>1209.3176527403139</c:v>
                </c:pt>
                <c:pt idx="89">
                  <c:v>1208.5256033396356</c:v>
                </c:pt>
                <c:pt idx="90">
                  <c:v>1207.7335539389574</c:v>
                </c:pt>
                <c:pt idx="91">
                  <c:v>1206.9415045382791</c:v>
                </c:pt>
                <c:pt idx="92">
                  <c:v>1206.1494551376009</c:v>
                </c:pt>
                <c:pt idx="93">
                  <c:v>1205.3574057369226</c:v>
                </c:pt>
                <c:pt idx="94">
                  <c:v>1204.5653563362443</c:v>
                </c:pt>
                <c:pt idx="95">
                  <c:v>1203.7733069355661</c:v>
                </c:pt>
                <c:pt idx="96">
                  <c:v>1202.9812575348878</c:v>
                </c:pt>
                <c:pt idx="97">
                  <c:v>1202.1892081342096</c:v>
                </c:pt>
                <c:pt idx="98">
                  <c:v>1201.3971587335313</c:v>
                </c:pt>
                <c:pt idx="99">
                  <c:v>1200.6051093328531</c:v>
                </c:pt>
                <c:pt idx="100">
                  <c:v>1199.8130599321748</c:v>
                </c:pt>
                <c:pt idx="101">
                  <c:v>1199.0210105314966</c:v>
                </c:pt>
                <c:pt idx="102">
                  <c:v>1198.2289611308183</c:v>
                </c:pt>
                <c:pt idx="103">
                  <c:v>1197.4369117301401</c:v>
                </c:pt>
                <c:pt idx="104">
                  <c:v>1196.6448623294618</c:v>
                </c:pt>
                <c:pt idx="105">
                  <c:v>1195.8528129287836</c:v>
                </c:pt>
                <c:pt idx="106">
                  <c:v>1195.0607635281053</c:v>
                </c:pt>
                <c:pt idx="107">
                  <c:v>1194.2687141274271</c:v>
                </c:pt>
                <c:pt idx="108">
                  <c:v>1193.4766647267488</c:v>
                </c:pt>
                <c:pt idx="109">
                  <c:v>1192.6846153260706</c:v>
                </c:pt>
                <c:pt idx="110">
                  <c:v>1191.8925659253923</c:v>
                </c:pt>
                <c:pt idx="111">
                  <c:v>1191.1005165247141</c:v>
                </c:pt>
                <c:pt idx="112">
                  <c:v>1190.3084671240358</c:v>
                </c:pt>
                <c:pt idx="113">
                  <c:v>1189.5164177233576</c:v>
                </c:pt>
                <c:pt idx="114">
                  <c:v>1188.7243683226793</c:v>
                </c:pt>
                <c:pt idx="115">
                  <c:v>1187.9323189220011</c:v>
                </c:pt>
                <c:pt idx="116">
                  <c:v>1187.1402695213228</c:v>
                </c:pt>
                <c:pt idx="117">
                  <c:v>1186.3482201206446</c:v>
                </c:pt>
                <c:pt idx="118">
                  <c:v>1185.5561707199663</c:v>
                </c:pt>
                <c:pt idx="119">
                  <c:v>1184.7641213192881</c:v>
                </c:pt>
                <c:pt idx="120">
                  <c:v>1183.9720719186098</c:v>
                </c:pt>
                <c:pt idx="121">
                  <c:v>1183.1800225179315</c:v>
                </c:pt>
                <c:pt idx="122">
                  <c:v>1182.3879731172533</c:v>
                </c:pt>
                <c:pt idx="123">
                  <c:v>1181.595923716575</c:v>
                </c:pt>
                <c:pt idx="124">
                  <c:v>1180.8038743158968</c:v>
                </c:pt>
                <c:pt idx="125">
                  <c:v>1180.0118249152185</c:v>
                </c:pt>
                <c:pt idx="126">
                  <c:v>1179.2197755145403</c:v>
                </c:pt>
                <c:pt idx="127">
                  <c:v>1178.427726113862</c:v>
                </c:pt>
                <c:pt idx="128">
                  <c:v>1177.6356767131838</c:v>
                </c:pt>
                <c:pt idx="129">
                  <c:v>1176.8436273125055</c:v>
                </c:pt>
                <c:pt idx="130">
                  <c:v>1176.0515779118273</c:v>
                </c:pt>
                <c:pt idx="131">
                  <c:v>1175.259528511149</c:v>
                </c:pt>
                <c:pt idx="132">
                  <c:v>1174.4674791104708</c:v>
                </c:pt>
                <c:pt idx="133">
                  <c:v>1173.6754297097925</c:v>
                </c:pt>
                <c:pt idx="134">
                  <c:v>1172.8833803091143</c:v>
                </c:pt>
                <c:pt idx="135">
                  <c:v>1172.091330908436</c:v>
                </c:pt>
                <c:pt idx="136">
                  <c:v>1171.2992815077578</c:v>
                </c:pt>
                <c:pt idx="137">
                  <c:v>1170.5072321070795</c:v>
                </c:pt>
                <c:pt idx="138">
                  <c:v>1169.7151827064013</c:v>
                </c:pt>
                <c:pt idx="139">
                  <c:v>1168.923133305723</c:v>
                </c:pt>
                <c:pt idx="140">
                  <c:v>1168.1310839050448</c:v>
                </c:pt>
                <c:pt idx="141">
                  <c:v>1167.3390345043665</c:v>
                </c:pt>
                <c:pt idx="142">
                  <c:v>1166.5469851036883</c:v>
                </c:pt>
                <c:pt idx="143">
                  <c:v>1165.75493570301</c:v>
                </c:pt>
                <c:pt idx="144">
                  <c:v>1164.9628863023318</c:v>
                </c:pt>
                <c:pt idx="145">
                  <c:v>1164.1708369016535</c:v>
                </c:pt>
                <c:pt idx="146">
                  <c:v>1163.3787875009752</c:v>
                </c:pt>
                <c:pt idx="147">
                  <c:v>1162.586738100297</c:v>
                </c:pt>
                <c:pt idx="148">
                  <c:v>1161.7946886996187</c:v>
                </c:pt>
                <c:pt idx="149">
                  <c:v>1161.0026392989405</c:v>
                </c:pt>
                <c:pt idx="150">
                  <c:v>1160.2105898982622</c:v>
                </c:pt>
                <c:pt idx="151">
                  <c:v>1159.418540497584</c:v>
                </c:pt>
                <c:pt idx="152">
                  <c:v>1158.6264910969057</c:v>
                </c:pt>
                <c:pt idx="153">
                  <c:v>1157.8344416962275</c:v>
                </c:pt>
                <c:pt idx="154">
                  <c:v>1157.0423922955492</c:v>
                </c:pt>
                <c:pt idx="155">
                  <c:v>1156.250342894871</c:v>
                </c:pt>
                <c:pt idx="156">
                  <c:v>1155.4582934941927</c:v>
                </c:pt>
                <c:pt idx="157">
                  <c:v>1154.6662440935145</c:v>
                </c:pt>
                <c:pt idx="158">
                  <c:v>1153.8741946928362</c:v>
                </c:pt>
                <c:pt idx="159">
                  <c:v>1153.082145292158</c:v>
                </c:pt>
                <c:pt idx="160">
                  <c:v>1152.2900958914797</c:v>
                </c:pt>
                <c:pt idx="161">
                  <c:v>1151.4980464908015</c:v>
                </c:pt>
                <c:pt idx="162">
                  <c:v>1150.7059970901232</c:v>
                </c:pt>
                <c:pt idx="163">
                  <c:v>1149.913947689445</c:v>
                </c:pt>
                <c:pt idx="164">
                  <c:v>1147.680902978695</c:v>
                </c:pt>
                <c:pt idx="165">
                  <c:v>1145.4478582679451</c:v>
                </c:pt>
                <c:pt idx="166">
                  <c:v>1143.2148135571952</c:v>
                </c:pt>
                <c:pt idx="167">
                  <c:v>1140.9817688464452</c:v>
                </c:pt>
                <c:pt idx="168">
                  <c:v>1138.7487241356953</c:v>
                </c:pt>
                <c:pt idx="169">
                  <c:v>1136.5156794249453</c:v>
                </c:pt>
                <c:pt idx="170">
                  <c:v>1134.2826347141954</c:v>
                </c:pt>
                <c:pt idx="171">
                  <c:v>1132.0495900034455</c:v>
                </c:pt>
                <c:pt idx="172">
                  <c:v>1129.8165452926955</c:v>
                </c:pt>
                <c:pt idx="173">
                  <c:v>1127.5835005819456</c:v>
                </c:pt>
                <c:pt idx="174">
                  <c:v>1125.3504558711957</c:v>
                </c:pt>
                <c:pt idx="175">
                  <c:v>1123.1174111604457</c:v>
                </c:pt>
                <c:pt idx="176">
                  <c:v>1120.8843664496958</c:v>
                </c:pt>
                <c:pt idx="177">
                  <c:v>1118.6513217389459</c:v>
                </c:pt>
                <c:pt idx="178">
                  <c:v>1116.4182770281959</c:v>
                </c:pt>
                <c:pt idx="179">
                  <c:v>1114.185232317446</c:v>
                </c:pt>
                <c:pt idx="180">
                  <c:v>1111.952187606696</c:v>
                </c:pt>
                <c:pt idx="181">
                  <c:v>1109.7191428959461</c:v>
                </c:pt>
                <c:pt idx="182">
                  <c:v>1107.4860981851962</c:v>
                </c:pt>
                <c:pt idx="183">
                  <c:v>1105.2530534744462</c:v>
                </c:pt>
                <c:pt idx="184">
                  <c:v>1103.0200087636963</c:v>
                </c:pt>
                <c:pt idx="185">
                  <c:v>1100.7869640529464</c:v>
                </c:pt>
                <c:pt idx="186">
                  <c:v>1098.5539193421964</c:v>
                </c:pt>
                <c:pt idx="187">
                  <c:v>1096.3208746314465</c:v>
                </c:pt>
                <c:pt idx="188">
                  <c:v>1094.0878299206965</c:v>
                </c:pt>
                <c:pt idx="189">
                  <c:v>1091.8547852099466</c:v>
                </c:pt>
                <c:pt idx="190">
                  <c:v>1089.6217404991967</c:v>
                </c:pt>
                <c:pt idx="191">
                  <c:v>1087.3886957884467</c:v>
                </c:pt>
                <c:pt idx="192">
                  <c:v>1085.1556510776968</c:v>
                </c:pt>
                <c:pt idx="193">
                  <c:v>1082.9226063669469</c:v>
                </c:pt>
                <c:pt idx="194">
                  <c:v>1080.6895616561969</c:v>
                </c:pt>
                <c:pt idx="195">
                  <c:v>1078.456516945447</c:v>
                </c:pt>
                <c:pt idx="196">
                  <c:v>1076.2234722346971</c:v>
                </c:pt>
                <c:pt idx="197">
                  <c:v>1073.9904275239471</c:v>
                </c:pt>
                <c:pt idx="198">
                  <c:v>1071.7573828131972</c:v>
                </c:pt>
                <c:pt idx="199">
                  <c:v>1069.5243381024472</c:v>
                </c:pt>
                <c:pt idx="200">
                  <c:v>1067.2912933916973</c:v>
                </c:pt>
                <c:pt idx="201">
                  <c:v>1065.0582486809474</c:v>
                </c:pt>
                <c:pt idx="202">
                  <c:v>1062.8252039701974</c:v>
                </c:pt>
                <c:pt idx="203">
                  <c:v>1060.5921592594475</c:v>
                </c:pt>
                <c:pt idx="204">
                  <c:v>1058.3591145486976</c:v>
                </c:pt>
                <c:pt idx="205">
                  <c:v>1056.1260698379476</c:v>
                </c:pt>
                <c:pt idx="206">
                  <c:v>1053.8930251271977</c:v>
                </c:pt>
                <c:pt idx="207">
                  <c:v>1051.6599804164478</c:v>
                </c:pt>
                <c:pt idx="208">
                  <c:v>1049.4269357056978</c:v>
                </c:pt>
                <c:pt idx="209">
                  <c:v>1047.1938909949479</c:v>
                </c:pt>
                <c:pt idx="210">
                  <c:v>1044.9608462841979</c:v>
                </c:pt>
                <c:pt idx="211">
                  <c:v>1042.727801573448</c:v>
                </c:pt>
                <c:pt idx="212">
                  <c:v>1040.4947568626981</c:v>
                </c:pt>
                <c:pt idx="213">
                  <c:v>1038.2617121519481</c:v>
                </c:pt>
                <c:pt idx="214">
                  <c:v>1036.0286674411982</c:v>
                </c:pt>
                <c:pt idx="215">
                  <c:v>1033.7956227304483</c:v>
                </c:pt>
                <c:pt idx="216">
                  <c:v>1031.5625780196983</c:v>
                </c:pt>
                <c:pt idx="217">
                  <c:v>1029.3295333089484</c:v>
                </c:pt>
                <c:pt idx="218">
                  <c:v>1027.0964885981984</c:v>
                </c:pt>
                <c:pt idx="219">
                  <c:v>1024.8634438874485</c:v>
                </c:pt>
                <c:pt idx="220">
                  <c:v>1022.6303991766986</c:v>
                </c:pt>
                <c:pt idx="221">
                  <c:v>1020.3973544659486</c:v>
                </c:pt>
                <c:pt idx="222">
                  <c:v>1018.1643097551987</c:v>
                </c:pt>
                <c:pt idx="223">
                  <c:v>1015.9312650444488</c:v>
                </c:pt>
                <c:pt idx="224">
                  <c:v>1013.6982203336988</c:v>
                </c:pt>
                <c:pt idx="225">
                  <c:v>1011.4651756229489</c:v>
                </c:pt>
                <c:pt idx="226">
                  <c:v>1009.232130912199</c:v>
                </c:pt>
                <c:pt idx="227">
                  <c:v>1006.999086201449</c:v>
                </c:pt>
                <c:pt idx="228">
                  <c:v>1004.7660414906991</c:v>
                </c:pt>
                <c:pt idx="229">
                  <c:v>1002.5329967799491</c:v>
                </c:pt>
                <c:pt idx="230">
                  <c:v>1000.2999520691992</c:v>
                </c:pt>
                <c:pt idx="231">
                  <c:v>998.06690735844927</c:v>
                </c:pt>
                <c:pt idx="232">
                  <c:v>995.83386264769933</c:v>
                </c:pt>
                <c:pt idx="233">
                  <c:v>993.6008179369494</c:v>
                </c:pt>
                <c:pt idx="234">
                  <c:v>991.36777322619946</c:v>
                </c:pt>
                <c:pt idx="235">
                  <c:v>989.13472851544952</c:v>
                </c:pt>
                <c:pt idx="236">
                  <c:v>986.90168380469959</c:v>
                </c:pt>
                <c:pt idx="237">
                  <c:v>984.66863909394965</c:v>
                </c:pt>
                <c:pt idx="238">
                  <c:v>982.43559438319971</c:v>
                </c:pt>
                <c:pt idx="239">
                  <c:v>980.20254967244978</c:v>
                </c:pt>
                <c:pt idx="240">
                  <c:v>974.46061369141728</c:v>
                </c:pt>
                <c:pt idx="241">
                  <c:v>968.71867771038478</c:v>
                </c:pt>
                <c:pt idx="242">
                  <c:v>962.97674172935228</c:v>
                </c:pt>
                <c:pt idx="243">
                  <c:v>957.23480574831979</c:v>
                </c:pt>
                <c:pt idx="244">
                  <c:v>951.49286976728729</c:v>
                </c:pt>
                <c:pt idx="245">
                  <c:v>945.75093378625479</c:v>
                </c:pt>
                <c:pt idx="246">
                  <c:v>940.00899780522229</c:v>
                </c:pt>
                <c:pt idx="247">
                  <c:v>934.2670618241898</c:v>
                </c:pt>
                <c:pt idx="248">
                  <c:v>928.5251258431573</c:v>
                </c:pt>
                <c:pt idx="249">
                  <c:v>929.62900000000002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500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929.62900000000002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92259840"/>
        <c:axId val="92147712"/>
      </c:scatterChart>
      <c:valAx>
        <c:axId val="92259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2147712"/>
        <c:crosses val="autoZero"/>
        <c:crossBetween val="midCat"/>
      </c:valAx>
      <c:valAx>
        <c:axId val="92147712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22598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sqref="A1:D1"/>
    </sheetView>
  </sheetViews>
  <sheetFormatPr defaultRowHeight="15"/>
  <cols>
    <col min="1" max="1" width="13.42578125" style="58" bestFit="1" customWidth="1"/>
    <col min="2" max="3" width="9.140625" style="58"/>
    <col min="4" max="4" width="17.42578125" style="58" bestFit="1" customWidth="1"/>
    <col min="5" max="16384" width="9.140625" style="58"/>
  </cols>
  <sheetData>
    <row r="1" spans="1:4">
      <c r="A1" s="74" t="s">
        <v>81</v>
      </c>
      <c r="B1" s="74"/>
      <c r="C1" s="74"/>
      <c r="D1" s="74"/>
    </row>
    <row r="2" spans="1:4">
      <c r="A2" s="71" t="s">
        <v>69</v>
      </c>
      <c r="B2" s="71" t="s">
        <v>70</v>
      </c>
      <c r="C2" s="73" t="s">
        <v>71</v>
      </c>
      <c r="D2" s="73"/>
    </row>
    <row r="3" spans="1:4">
      <c r="A3" s="59" t="s">
        <v>72</v>
      </c>
      <c r="B3" s="59" t="s">
        <v>73</v>
      </c>
      <c r="C3" s="59">
        <v>2.2000000000000002</v>
      </c>
      <c r="D3" s="59" t="s">
        <v>74</v>
      </c>
    </row>
    <row r="4" spans="1:4">
      <c r="A4" s="59" t="s">
        <v>68</v>
      </c>
      <c r="B4" s="59">
        <v>8</v>
      </c>
      <c r="C4" s="59">
        <v>200</v>
      </c>
      <c r="D4" s="59" t="s">
        <v>78</v>
      </c>
    </row>
    <row r="5" spans="1:4">
      <c r="A5" s="59" t="s">
        <v>72</v>
      </c>
      <c r="B5" s="59" t="s">
        <v>75</v>
      </c>
      <c r="C5" s="59">
        <v>2.2000000000000002</v>
      </c>
      <c r="D5" s="59" t="s">
        <v>74</v>
      </c>
    </row>
    <row r="6" spans="1:4">
      <c r="A6" s="59" t="s">
        <v>72</v>
      </c>
      <c r="B6" s="59" t="s">
        <v>79</v>
      </c>
      <c r="C6" s="59">
        <v>1.8</v>
      </c>
      <c r="D6" s="59" t="s">
        <v>74</v>
      </c>
    </row>
    <row r="7" spans="1:4">
      <c r="A7" s="59" t="s">
        <v>72</v>
      </c>
      <c r="B7" s="59" t="s">
        <v>80</v>
      </c>
      <c r="C7" s="59">
        <v>1.5</v>
      </c>
      <c r="D7" s="59" t="s">
        <v>74</v>
      </c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E33" workbookViewId="0">
      <selection activeCell="F30" sqref="F30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5" sqref="C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20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sqref="A1:B5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75" t="s">
        <v>26</v>
      </c>
      <c r="B1" s="75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55"/>
  <sheetViews>
    <sheetView topLeftCell="AG1" workbookViewId="0">
      <selection sqref="A1:D1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79" t="s">
        <v>82</v>
      </c>
      <c r="B1" s="79"/>
      <c r="C1" s="79"/>
      <c r="D1" s="80"/>
      <c r="E1" s="76" t="str">
        <f>A1</f>
        <v>Option 1B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R1" s="76" t="str">
        <f>A1</f>
        <v>Option 1B</v>
      </c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8"/>
    </row>
    <row r="2" spans="1:45">
      <c r="A2" s="81" t="s">
        <v>13</v>
      </c>
      <c r="B2" s="82"/>
      <c r="C2" s="82"/>
      <c r="D2" s="83"/>
      <c r="E2" s="84" t="s">
        <v>14</v>
      </c>
      <c r="F2" s="85"/>
      <c r="G2" s="85"/>
      <c r="H2" s="85"/>
      <c r="I2" s="85"/>
      <c r="J2" s="85"/>
      <c r="K2" s="85"/>
      <c r="L2" s="85"/>
      <c r="M2" s="85"/>
      <c r="N2" s="86"/>
      <c r="O2" s="84" t="s">
        <v>57</v>
      </c>
      <c r="P2" s="85"/>
      <c r="Q2" s="86"/>
      <c r="R2" s="53" t="s">
        <v>50</v>
      </c>
      <c r="S2" s="32"/>
      <c r="T2" s="32"/>
      <c r="U2" s="32"/>
      <c r="V2" s="32"/>
      <c r="W2" s="32"/>
      <c r="X2" s="33"/>
      <c r="Y2" s="87" t="s">
        <v>47</v>
      </c>
      <c r="Z2" s="88"/>
      <c r="AA2" s="88"/>
      <c r="AB2" s="88"/>
      <c r="AC2" s="88"/>
      <c r="AD2" s="88"/>
      <c r="AE2" s="89"/>
      <c r="AF2" s="53" t="s">
        <v>48</v>
      </c>
      <c r="AG2" s="32"/>
      <c r="AH2" s="32"/>
      <c r="AI2" s="32"/>
      <c r="AJ2" s="32"/>
      <c r="AK2" s="32"/>
      <c r="AL2" s="33"/>
      <c r="AM2" s="87" t="s">
        <v>49</v>
      </c>
      <c r="AN2" s="88"/>
      <c r="AO2" s="88"/>
      <c r="AP2" s="88"/>
      <c r="AQ2" s="88"/>
      <c r="AR2" s="88"/>
      <c r="AS2" s="89"/>
    </row>
    <row r="3" spans="1:45" ht="18">
      <c r="A3" s="47" t="s">
        <v>15</v>
      </c>
      <c r="B3" s="17" t="s">
        <v>17</v>
      </c>
      <c r="C3" s="17" t="s">
        <v>18</v>
      </c>
      <c r="D3" s="29" t="s">
        <v>31</v>
      </c>
      <c r="E3" s="21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1" t="s">
        <v>32</v>
      </c>
      <c r="N3" s="29" t="s">
        <v>55</v>
      </c>
      <c r="O3" s="47" t="s">
        <v>58</v>
      </c>
      <c r="P3" s="17" t="s">
        <v>65</v>
      </c>
      <c r="Q3" s="29" t="s">
        <v>67</v>
      </c>
      <c r="R3" s="28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1" t="s">
        <v>55</v>
      </c>
      <c r="X3" s="29" t="s">
        <v>42</v>
      </c>
      <c r="Y3" s="28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9" t="s">
        <v>42</v>
      </c>
      <c r="AF3" s="28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1" t="s">
        <v>55</v>
      </c>
      <c r="AL3" s="29" t="s">
        <v>42</v>
      </c>
      <c r="AM3" s="28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9" t="s">
        <v>42</v>
      </c>
    </row>
    <row r="4" spans="1:45">
      <c r="A4" s="41" t="s">
        <v>56</v>
      </c>
      <c r="B4" s="18">
        <v>8</v>
      </c>
      <c r="C4" s="12">
        <f>IF(B4&gt;0,VLOOKUP(B4,$F$4:$G$253,2),"")</f>
        <v>1063.8320000000001</v>
      </c>
      <c r="D4" s="42">
        <v>200</v>
      </c>
      <c r="E4" s="35" t="str">
        <f t="shared" ref="E4:E67" si="0">IF(OR(F4=$B$4,F4=$B$5,F4=$B$6),"Pump Station",IF(OR(F4=$B$11,F4=$B$12,F4=$B$13,F4=$B$14,F4=$B$15),"Reservoir",""))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2.2000000000000002</v>
      </c>
      <c r="J4" s="36">
        <f>'Flow Rate Calculations'!$B$7</f>
        <v>4.0831050228310497</v>
      </c>
      <c r="K4" s="36">
        <f>J4/I4^2/PI()*4</f>
        <v>1.0741261942924094</v>
      </c>
      <c r="L4" s="37">
        <f>$I4*$K4/'Calculation Constants'!$B$7</f>
        <v>2091219.139330355</v>
      </c>
      <c r="M4" s="37">
        <f t="shared" ref="M4:M67" si="1">IF(X4&gt;VLOOKUP(F4,$B$11:$D$15,2),"Greater Dynamic Pressures",VLOOKUP(F4,$B$11:$C$15,2)-G4)</f>
        <v>10</v>
      </c>
      <c r="N4" s="23">
        <f>W4</f>
        <v>10</v>
      </c>
      <c r="O4" s="55">
        <f t="shared" ref="O4:O67" si="2">MAX(M4,AD4)</f>
        <v>10</v>
      </c>
      <c r="P4" s="64">
        <f>MAX(I4*1000/'Calculation Constants'!$B$14,O4*10*I4*1000/2/('Calculation Constants'!$B$12*1000*'Calculation Constants'!$B$13))</f>
        <v>13.75</v>
      </c>
      <c r="Q4" s="67">
        <f t="shared" ref="Q4:Q67" si="3">(I4^2*PI()/4-(I4-P4/1000*2)^2*PI()/4)*H4*1000*7850</f>
        <v>0</v>
      </c>
      <c r="R4" s="27">
        <f>(1/(2*LOG(3.7*$I4/'Calculation Constants'!$B$2*1000)))^2</f>
        <v>8.4679866037394684E-3</v>
      </c>
      <c r="S4" s="19" t="str">
        <f>IF($H4&gt;0,R4*$H4*$K4^2/2/9.81/$I4*1000,"")</f>
        <v/>
      </c>
      <c r="T4" s="19" t="str">
        <f>IF($H4&gt;0,'Calculation Constants'!$B$9*Hydraulics!$K4^2/2/9.81/MAX($F$4:$F$253)*$H4,"")</f>
        <v/>
      </c>
      <c r="U4" s="19">
        <f>IF(S4="",0,S4+T4)</f>
        <v>0</v>
      </c>
      <c r="V4" s="19">
        <f t="shared" ref="V4:V67" si="4">IF($F4=$B$4,$D$4,(IF($F4=$B$5,$D$5,IF($F4=$B$6,$D$6,0))))</f>
        <v>0</v>
      </c>
      <c r="W4" s="19">
        <f t="shared" ref="W4:W67" si="5">IF(E4="Reservoir",VLOOKUP(F4,$B$11:$D$15,2)-G4,X4-$G4)</f>
        <v>10</v>
      </c>
      <c r="X4" s="23">
        <f t="shared" ref="X4:X67" si="6">IF($E4="Reservoir",VLOOKUP($F4,$B$11:$D$15,2)+V4,X3-U4+V4)</f>
        <v>1079.018</v>
      </c>
      <c r="Y4" s="22">
        <f>(1/(2*LOG(3.7*$I4/'Calculation Constants'!$B$3*1000)))^2</f>
        <v>9.4904462912918219E-3</v>
      </c>
      <c r="Z4" s="19" t="str">
        <f t="shared" ref="Z4:Z67" si="7">IF($H4&gt;0,Y4*$H4*$K4^2/2/9.81/$I4*1000,"")</f>
        <v/>
      </c>
      <c r="AA4" s="19" t="str">
        <f>IF($H4&gt;0,'Calculation Constants'!$B$9*Hydraulics!$K4^2/2/9.81/MAX($F$4:$F$253)*$H4,"")</f>
        <v/>
      </c>
      <c r="AB4" s="19">
        <f>IF(Z4="",0,Z4+AA4)</f>
        <v>0</v>
      </c>
      <c r="AC4" s="19">
        <f t="shared" ref="AC4:AC67" si="8">IF($F4=$B$4,$D$4,(IF($F4=$B$5,$D$5,IF($F4=$B$6,$D$6,0))))</f>
        <v>0</v>
      </c>
      <c r="AD4" s="19">
        <f>AE4-$G4</f>
        <v>10</v>
      </c>
      <c r="AE4" s="23">
        <f t="shared" ref="AE4:AE67" si="9">IF($E4="Reservoir",VLOOKUP($F4,$B$11:$D$15,2)+AC4,AE3-AB4+AC4)</f>
        <v>1079.018</v>
      </c>
      <c r="AF4" s="27">
        <f>(1/(2*LOG(3.7*$I4/'Calculation Constants'!$B$4*1000)))^2</f>
        <v>1.1152845500629007E-2</v>
      </c>
      <c r="AG4" s="19" t="str">
        <f t="shared" ref="AG4:AG67" si="10">IF($H4&gt;0,AF4*$H4*$K4^2/2/9.81/$I4*1000,"")</f>
        <v/>
      </c>
      <c r="AH4" s="19" t="str">
        <f>IF($H4&gt;0,'Calculation Constants'!$B$9*Hydraulics!$K4^2/2/9.81/MAX($F$4:$F$253)*$H4,"")</f>
        <v/>
      </c>
      <c r="AI4" s="19">
        <f>IF(AG4="",0,AG4+AH4)</f>
        <v>0</v>
      </c>
      <c r="AJ4" s="19">
        <f t="shared" ref="AJ4:AJ67" si="11">IF($F4=$B$4,$D$4,(IF($F4=$B$5,$D$5,IF($F4=$B$6,$D$6,0))))</f>
        <v>0</v>
      </c>
      <c r="AK4" s="19">
        <f>AL4-$G4</f>
        <v>10</v>
      </c>
      <c r="AL4" s="23">
        <f t="shared" ref="AL4:AL67" si="12">IF($E4="Reservoir",VLOOKUP($F4,$B$11:$D$15,2)+AJ4,AL3-AI4+AJ4)</f>
        <v>1079.018</v>
      </c>
      <c r="AM4" s="22">
        <f>(1/(2*LOG(3.7*($I4-0.008)/'Calculation Constants'!$B$5*1000)))^2</f>
        <v>1.4104604303736145E-2</v>
      </c>
      <c r="AN4" s="19" t="str">
        <f>IF($H4&gt;0,AM4*$H4*$K4^2/2/9.81/($I4-0.008)*1000,"")</f>
        <v/>
      </c>
      <c r="AO4" s="19" t="str">
        <f>IF($H4&gt;0,'Calculation Constants'!$B$9*Hydraulics!$K4^2/2/9.81/MAX($F$4:$F$253)*$H4,"")</f>
        <v/>
      </c>
      <c r="AP4" s="19">
        <f>IF(AN4="",0,AN4+AO4)</f>
        <v>0</v>
      </c>
      <c r="AQ4" s="19">
        <f t="shared" ref="AQ4:AQ67" si="13">IF($F4=$B$4,$D$4,(IF($F4=$B$5,$D$5,IF($F4=$B$6,$D$6,0))))</f>
        <v>0</v>
      </c>
      <c r="AR4" s="19">
        <f>AS4-$G4</f>
        <v>10</v>
      </c>
      <c r="AS4" s="23">
        <f t="shared" ref="AS4:AS67" si="14">IF($E4="Reservoir",VLOOKUP($F4,$B$11:$D$15,2)+AQ4,AS3-AP4+AQ4)</f>
        <v>1079.018</v>
      </c>
    </row>
    <row r="5" spans="1:45">
      <c r="A5" s="41"/>
      <c r="B5" s="18"/>
      <c r="C5" s="12" t="str">
        <f>IF(B5&gt;0,VLOOKUP(B5,$F$4:$G$253,2),"")</f>
        <v/>
      </c>
      <c r="D5" s="42"/>
      <c r="E5" s="35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2.2000000000000002</v>
      </c>
      <c r="J5" s="36">
        <f>'Flow Rate Calculations'!$B$7</f>
        <v>4.0831050228310497</v>
      </c>
      <c r="K5" s="36">
        <f t="shared" ref="K5:K68" si="15">J5/I5^2/PI()*4</f>
        <v>1.0741261942924094</v>
      </c>
      <c r="L5" s="37">
        <f>$I5*$K5/'Calculation Constants'!$B$7</f>
        <v>2091219.139330355</v>
      </c>
      <c r="M5" s="37">
        <f t="shared" si="1"/>
        <v>11.697000000000116</v>
      </c>
      <c r="N5" s="23">
        <f t="shared" ref="N5:N68" si="16">W5</f>
        <v>11.209029102868726</v>
      </c>
      <c r="O5" s="56">
        <f t="shared" si="2"/>
        <v>11.697000000000116</v>
      </c>
      <c r="P5" s="65">
        <f>MAX(I5*1000/'Calculation Constants'!$B$14,O5*10*I5*1000/2/('Calculation Constants'!$B$12*1000*'Calculation Constants'!$B$13))</f>
        <v>13.75</v>
      </c>
      <c r="Q5" s="67">
        <f t="shared" si="3"/>
        <v>1482695.7604373412</v>
      </c>
      <c r="R5" s="27">
        <f>(1/(2*LOG(3.7*$I5/'Calculation Constants'!$B$2*1000)))^2</f>
        <v>8.4679866037394684E-3</v>
      </c>
      <c r="S5" s="19">
        <f t="shared" ref="S5:S68" si="17">IF($H5&gt;0,R5*$H5*$K5^2/2/9.81/$I5*1000,"")</f>
        <v>0.45268811177167712</v>
      </c>
      <c r="T5" s="19">
        <f>IF($H5&gt;0,'Calculation Constants'!$B$9*Hydraulics!$K5^2/2/9.81/MAX($F$4:$F$253)*$H5,"")</f>
        <v>3.5282785359788842E-2</v>
      </c>
      <c r="U5" s="19">
        <f t="shared" ref="U5:U68" si="18">IF(S5="",0,S5+T5)</f>
        <v>0.48797089713146596</v>
      </c>
      <c r="V5" s="19">
        <f t="shared" si="4"/>
        <v>0</v>
      </c>
      <c r="W5" s="19">
        <f t="shared" si="5"/>
        <v>11.209029102868726</v>
      </c>
      <c r="X5" s="23">
        <f t="shared" si="6"/>
        <v>1078.5300291028686</v>
      </c>
      <c r="Y5" s="22">
        <f>(1/(2*LOG(3.7*$I5/'Calculation Constants'!$B$3*1000)))^2</f>
        <v>9.4904462912918219E-3</v>
      </c>
      <c r="Z5" s="19">
        <f t="shared" si="7"/>
        <v>0.50734754464280807</v>
      </c>
      <c r="AA5" s="19">
        <f>IF($H5&gt;0,'Calculation Constants'!$B$9*Hydraulics!$K5^2/2/9.81/MAX($F$4:$F$253)*$H5,"")</f>
        <v>3.5282785359788842E-2</v>
      </c>
      <c r="AB5" s="19">
        <f t="shared" ref="AB5:AB7" si="19">IF(Z5="",0,Z5+AA5)</f>
        <v>0.54263033000259686</v>
      </c>
      <c r="AC5" s="19">
        <f t="shared" si="8"/>
        <v>0</v>
      </c>
      <c r="AD5" s="19">
        <f t="shared" ref="AD5:AD68" si="20">AE5-$G5</f>
        <v>11.15436966999755</v>
      </c>
      <c r="AE5" s="23">
        <f t="shared" si="9"/>
        <v>1078.4753696699975</v>
      </c>
      <c r="AF5" s="27">
        <f>(1/(2*LOG(3.7*$I5/'Calculation Constants'!$B$4*1000)))^2</f>
        <v>1.1152845500629007E-2</v>
      </c>
      <c r="AG5" s="19">
        <f t="shared" si="10"/>
        <v>0.59621735446906032</v>
      </c>
      <c r="AH5" s="19">
        <f>IF($H5&gt;0,'Calculation Constants'!$B$9*Hydraulics!$K5^2/2/9.81/MAX($F$4:$F$253)*$H5,"")</f>
        <v>3.5282785359788842E-2</v>
      </c>
      <c r="AI5" s="19">
        <f t="shared" ref="AI5:AI68" si="21">IF(AG5="",0,AG5+AH5)</f>
        <v>0.63150013982884912</v>
      </c>
      <c r="AJ5" s="19">
        <f t="shared" si="11"/>
        <v>0</v>
      </c>
      <c r="AK5" s="19">
        <f t="shared" ref="AK5:AK68" si="22">AL5-$G5</f>
        <v>11.065499860171258</v>
      </c>
      <c r="AL5" s="23">
        <f t="shared" si="12"/>
        <v>1078.3864998601712</v>
      </c>
      <c r="AM5" s="22">
        <f>(1/(2*LOG(3.7*($I5-0.008)/'Calculation Constants'!$B$5*1000)))^2</f>
        <v>1.4104604303736145E-2</v>
      </c>
      <c r="AN5" s="19">
        <f t="shared" ref="AN5:AN68" si="23">IF($H5&gt;0,AM5*$H5*$K5^2/2/9.81/($I5-0.008)*1000,"")</f>
        <v>0.75676661531854661</v>
      </c>
      <c r="AO5" s="19">
        <f>IF($H5&gt;0,'Calculation Constants'!$B$9*Hydraulics!$K5^2/2/9.81/MAX($F$4:$F$253)*$H5,"")</f>
        <v>3.5282785359788842E-2</v>
      </c>
      <c r="AP5" s="19">
        <f t="shared" ref="AP5:AP68" si="24">IF(AN5="",0,AN5+AO5)</f>
        <v>0.7920494006783354</v>
      </c>
      <c r="AQ5" s="19">
        <f t="shared" si="13"/>
        <v>0</v>
      </c>
      <c r="AR5" s="19">
        <f t="shared" ref="AR5:AR68" si="25">AS5-$G5</f>
        <v>10.904950599321865</v>
      </c>
      <c r="AS5" s="23">
        <f t="shared" si="14"/>
        <v>1078.2259505993218</v>
      </c>
    </row>
    <row r="6" spans="1:45" ht="15.75" thickBot="1">
      <c r="A6" s="43"/>
      <c r="B6" s="44"/>
      <c r="C6" s="45" t="str">
        <f>IF(B6&gt;0,VLOOKUP(B6,$F$4:$G$253,2),"")</f>
        <v/>
      </c>
      <c r="D6" s="46"/>
      <c r="E6" s="35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6">F6-F5</f>
        <v>2</v>
      </c>
      <c r="I6" s="19">
        <v>2.2000000000000002</v>
      </c>
      <c r="J6" s="36">
        <f>'Flow Rate Calculations'!$B$7</f>
        <v>4.0831050228310497</v>
      </c>
      <c r="K6" s="36">
        <f t="shared" si="15"/>
        <v>1.0741261942924094</v>
      </c>
      <c r="L6" s="37">
        <f>$I6*$K6/'Calculation Constants'!$B$7</f>
        <v>2091219.139330355</v>
      </c>
      <c r="M6" s="37">
        <f t="shared" si="1"/>
        <v>14.982999999999947</v>
      </c>
      <c r="N6" s="23">
        <f t="shared" si="16"/>
        <v>14.007058205737167</v>
      </c>
      <c r="O6" s="56">
        <f t="shared" si="2"/>
        <v>14.982999999999947</v>
      </c>
      <c r="P6" s="65">
        <f>MAX(I6*1000/'Calculation Constants'!$B$14,O6*10*I6*1000/2/('Calculation Constants'!$B$12*1000*'Calculation Constants'!$B$13))</f>
        <v>13.75</v>
      </c>
      <c r="Q6" s="67">
        <f t="shared" si="3"/>
        <v>1482695.7604373412</v>
      </c>
      <c r="R6" s="27">
        <f>(1/(2*LOG(3.7*$I6/'Calculation Constants'!$B$2*1000)))^2</f>
        <v>8.4679866037394684E-3</v>
      </c>
      <c r="S6" s="19">
        <f t="shared" si="17"/>
        <v>0.45268811177167712</v>
      </c>
      <c r="T6" s="19">
        <f>IF($H6&gt;0,'Calculation Constants'!$B$9*Hydraulics!$K6^2/2/9.81/MAX($F$4:$F$253)*$H6,"")</f>
        <v>3.5282785359788842E-2</v>
      </c>
      <c r="U6" s="19">
        <f t="shared" si="18"/>
        <v>0.48797089713146596</v>
      </c>
      <c r="V6" s="19">
        <f t="shared" si="4"/>
        <v>0</v>
      </c>
      <c r="W6" s="19">
        <f t="shared" si="5"/>
        <v>14.007058205737167</v>
      </c>
      <c r="X6" s="23">
        <f t="shared" si="6"/>
        <v>1078.0420582057372</v>
      </c>
      <c r="Y6" s="22">
        <f>(1/(2*LOG(3.7*$I6/'Calculation Constants'!$B$3*1000)))^2</f>
        <v>9.4904462912918219E-3</v>
      </c>
      <c r="Z6" s="19">
        <f t="shared" si="7"/>
        <v>0.50734754464280807</v>
      </c>
      <c r="AA6" s="19">
        <f>IF($H6&gt;0,'Calculation Constants'!$B$9*Hydraulics!$K6^2/2/9.81/MAX($F$4:$F$253)*$H6,"")</f>
        <v>3.5282785359788842E-2</v>
      </c>
      <c r="AB6" s="19">
        <f t="shared" si="19"/>
        <v>0.54263033000259686</v>
      </c>
      <c r="AC6" s="19">
        <f t="shared" si="8"/>
        <v>0</v>
      </c>
      <c r="AD6" s="19">
        <f t="shared" si="20"/>
        <v>13.897739339994814</v>
      </c>
      <c r="AE6" s="23">
        <f t="shared" si="9"/>
        <v>1077.9327393399949</v>
      </c>
      <c r="AF6" s="27">
        <f>(1/(2*LOG(3.7*$I6/'Calculation Constants'!$B$4*1000)))^2</f>
        <v>1.1152845500629007E-2</v>
      </c>
      <c r="AG6" s="19">
        <f t="shared" si="10"/>
        <v>0.59621735446906032</v>
      </c>
      <c r="AH6" s="19">
        <f>IF($H6&gt;0,'Calculation Constants'!$B$9*Hydraulics!$K6^2/2/9.81/MAX($F$4:$F$253)*$H6,"")</f>
        <v>3.5282785359788842E-2</v>
      </c>
      <c r="AI6" s="19">
        <f t="shared" si="21"/>
        <v>0.63150013982884912</v>
      </c>
      <c r="AJ6" s="19">
        <f t="shared" si="11"/>
        <v>0</v>
      </c>
      <c r="AK6" s="19">
        <f t="shared" si="22"/>
        <v>13.71999972034223</v>
      </c>
      <c r="AL6" s="23">
        <f t="shared" si="12"/>
        <v>1077.7549997203423</v>
      </c>
      <c r="AM6" s="22">
        <f>(1/(2*LOG(3.7*($I6-0.008)/'Calculation Constants'!$B$5*1000)))^2</f>
        <v>1.4104604303736145E-2</v>
      </c>
      <c r="AN6" s="19">
        <f t="shared" si="23"/>
        <v>0.75676661531854661</v>
      </c>
      <c r="AO6" s="19">
        <f>IF($H6&gt;0,'Calculation Constants'!$B$9*Hydraulics!$K6^2/2/9.81/MAX($F$4:$F$253)*$H6,"")</f>
        <v>3.5282785359788842E-2</v>
      </c>
      <c r="AP6" s="19">
        <f t="shared" si="24"/>
        <v>0.7920494006783354</v>
      </c>
      <c r="AQ6" s="19">
        <f t="shared" si="13"/>
        <v>0</v>
      </c>
      <c r="AR6" s="19">
        <f t="shared" si="25"/>
        <v>13.398901198643443</v>
      </c>
      <c r="AS6" s="23">
        <f t="shared" si="14"/>
        <v>1077.4339011986435</v>
      </c>
    </row>
    <row r="7" spans="1:45">
      <c r="E7" s="35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6"/>
        <v>2</v>
      </c>
      <c r="I7" s="19">
        <v>2.2000000000000002</v>
      </c>
      <c r="J7" s="36">
        <f>'Flow Rate Calculations'!$B$7</f>
        <v>4.0831050228310497</v>
      </c>
      <c r="K7" s="36">
        <f t="shared" si="15"/>
        <v>1.0741261942924094</v>
      </c>
      <c r="L7" s="37">
        <f>$I7*$K7/'Calculation Constants'!$B$7</f>
        <v>2091219.139330355</v>
      </c>
      <c r="M7" s="37" t="str">
        <f t="shared" si="1"/>
        <v>Greater Dynamic Pressures</v>
      </c>
      <c r="N7" s="23">
        <f t="shared" si="16"/>
        <v>213.72208730860575</v>
      </c>
      <c r="O7" s="56">
        <f t="shared" si="2"/>
        <v>213.55810900999222</v>
      </c>
      <c r="P7" s="65">
        <f>MAX(I7*1000/'Calculation Constants'!$B$14,O7*10*I7*1000/2/('Calculation Constants'!$B$12*1000*'Calculation Constants'!$B$13))</f>
        <v>15.660927994066094</v>
      </c>
      <c r="Q7" s="67">
        <f t="shared" si="3"/>
        <v>1687279.663549186</v>
      </c>
      <c r="R7" s="27">
        <f>(1/(2*LOG(3.7*$I7/'Calculation Constants'!$B$2*1000)))^2</f>
        <v>8.4679866037394684E-3</v>
      </c>
      <c r="S7" s="19">
        <f t="shared" si="17"/>
        <v>0.45268811177167712</v>
      </c>
      <c r="T7" s="19">
        <f>IF($H7&gt;0,'Calculation Constants'!$B$9*Hydraulics!$K7^2/2/9.81/MAX($F$4:$F$253)*$H7,"")</f>
        <v>3.5282785359788842E-2</v>
      </c>
      <c r="U7" s="19">
        <f t="shared" si="18"/>
        <v>0.48797089713146596</v>
      </c>
      <c r="V7" s="19">
        <f t="shared" si="4"/>
        <v>200</v>
      </c>
      <c r="W7" s="19">
        <f t="shared" si="5"/>
        <v>213.72208730860575</v>
      </c>
      <c r="X7" s="23">
        <f t="shared" si="6"/>
        <v>1277.5540873086059</v>
      </c>
      <c r="Y7" s="22">
        <f>(1/(2*LOG(3.7*$I7/'Calculation Constants'!$B$3*1000)))^2</f>
        <v>9.4904462912918219E-3</v>
      </c>
      <c r="Z7" s="19">
        <f t="shared" si="7"/>
        <v>0.50734754464280807</v>
      </c>
      <c r="AA7" s="19">
        <f>IF($H7&gt;0,'Calculation Constants'!$B$9*Hydraulics!$K7^2/2/9.81/MAX($F$4:$F$253)*$H7,"")</f>
        <v>3.5282785359788842E-2</v>
      </c>
      <c r="AB7" s="19">
        <f t="shared" si="19"/>
        <v>0.54263033000259686</v>
      </c>
      <c r="AC7" s="19">
        <f t="shared" si="8"/>
        <v>200</v>
      </c>
      <c r="AD7" s="19">
        <f t="shared" si="20"/>
        <v>213.55810900999222</v>
      </c>
      <c r="AE7" s="23">
        <f t="shared" si="9"/>
        <v>1277.3901090099923</v>
      </c>
      <c r="AF7" s="27">
        <f>(1/(2*LOG(3.7*$I7/'Calculation Constants'!$B$4*1000)))^2</f>
        <v>1.1152845500629007E-2</v>
      </c>
      <c r="AG7" s="19">
        <f t="shared" si="10"/>
        <v>0.59621735446906032</v>
      </c>
      <c r="AH7" s="19">
        <f>IF($H7&gt;0,'Calculation Constants'!$B$9*Hydraulics!$K7^2/2/9.81/MAX($F$4:$F$253)*$H7,"")</f>
        <v>3.5282785359788842E-2</v>
      </c>
      <c r="AI7" s="19">
        <f t="shared" si="21"/>
        <v>0.63150013982884912</v>
      </c>
      <c r="AJ7" s="19">
        <f t="shared" si="11"/>
        <v>200</v>
      </c>
      <c r="AK7" s="19">
        <f t="shared" si="22"/>
        <v>213.29149958051335</v>
      </c>
      <c r="AL7" s="23">
        <f t="shared" si="12"/>
        <v>1277.1234995805135</v>
      </c>
      <c r="AM7" s="22">
        <f>(1/(2*LOG(3.7*($I7-0.008)/'Calculation Constants'!$B$5*1000)))^2</f>
        <v>1.4104604303736145E-2</v>
      </c>
      <c r="AN7" s="19">
        <f t="shared" si="23"/>
        <v>0.75676661531854661</v>
      </c>
      <c r="AO7" s="19">
        <f>IF($H7&gt;0,'Calculation Constants'!$B$9*Hydraulics!$K7^2/2/9.81/MAX($F$4:$F$253)*$H7,"")</f>
        <v>3.5282785359788842E-2</v>
      </c>
      <c r="AP7" s="19">
        <f t="shared" si="24"/>
        <v>0.7920494006783354</v>
      </c>
      <c r="AQ7" s="19">
        <f t="shared" si="13"/>
        <v>200</v>
      </c>
      <c r="AR7" s="19">
        <f t="shared" si="25"/>
        <v>212.80985179796517</v>
      </c>
      <c r="AS7" s="23">
        <f t="shared" si="14"/>
        <v>1276.6418517979653</v>
      </c>
    </row>
    <row r="8" spans="1:45" ht="15.75" thickBot="1">
      <c r="E8" s="35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6"/>
        <v>2</v>
      </c>
      <c r="I8" s="19">
        <v>2.2000000000000002</v>
      </c>
      <c r="J8" s="36">
        <f>'Flow Rate Calculations'!$B$7</f>
        <v>4.0831050228310497</v>
      </c>
      <c r="K8" s="36">
        <f t="shared" si="15"/>
        <v>1.0741261942924094</v>
      </c>
      <c r="L8" s="37">
        <f>$I8*$K8/'Calculation Constants'!$B$7</f>
        <v>2091219.139330355</v>
      </c>
      <c r="M8" s="37" t="str">
        <f t="shared" si="1"/>
        <v>Greater Dynamic Pressures</v>
      </c>
      <c r="N8" s="23">
        <f t="shared" si="16"/>
        <v>209.17311641147444</v>
      </c>
      <c r="O8" s="56">
        <f t="shared" si="2"/>
        <v>208.95447867998973</v>
      </c>
      <c r="P8" s="65">
        <f>MAX(I8*1000/'Calculation Constants'!$B$14,O8*10*I8*1000/2/('Calculation Constants'!$B$12*1000*'Calculation Constants'!$B$13))</f>
        <v>15.323328436532579</v>
      </c>
      <c r="Q8" s="67">
        <f t="shared" si="3"/>
        <v>1651162.4615476143</v>
      </c>
      <c r="R8" s="27">
        <f>(1/(2*LOG(3.7*$I8/'Calculation Constants'!$B$2*1000)))^2</f>
        <v>8.4679866037394684E-3</v>
      </c>
      <c r="S8" s="19">
        <f t="shared" si="17"/>
        <v>0.45268811177167712</v>
      </c>
      <c r="T8" s="19">
        <f>IF($H8&gt;0,'Calculation Constants'!$B$9*Hydraulics!$K8^2/2/9.81/MAX($F$4:$F$253)*$H8,"")</f>
        <v>3.5282785359788842E-2</v>
      </c>
      <c r="U8" s="19">
        <f t="shared" si="18"/>
        <v>0.48797089713146596</v>
      </c>
      <c r="V8" s="19">
        <f t="shared" si="4"/>
        <v>0</v>
      </c>
      <c r="W8" s="19">
        <f t="shared" si="5"/>
        <v>209.17311641147444</v>
      </c>
      <c r="X8" s="23">
        <f t="shared" si="6"/>
        <v>1277.0661164114745</v>
      </c>
      <c r="Y8" s="22">
        <f>(1/(2*LOG(3.7*$I8/'Calculation Constants'!$B$3*1000)))^2</f>
        <v>9.4904462912918219E-3</v>
      </c>
      <c r="Z8" s="19">
        <f t="shared" si="7"/>
        <v>0.50734754464280807</v>
      </c>
      <c r="AA8" s="19">
        <f>IF($H8&gt;0,'Calculation Constants'!$B$9*Hydraulics!$K8^2/2/9.81/MAX($F$4:$F$253)*$H8,"")</f>
        <v>3.5282785359788842E-2</v>
      </c>
      <c r="AB8" s="19">
        <f t="shared" ref="AB8:AB71" si="27">IF(Z8="",0,Z8+AA8)</f>
        <v>0.54263033000259686</v>
      </c>
      <c r="AC8" s="19">
        <f t="shared" si="8"/>
        <v>0</v>
      </c>
      <c r="AD8" s="19">
        <f t="shared" si="20"/>
        <v>208.95447867998973</v>
      </c>
      <c r="AE8" s="23">
        <f t="shared" si="9"/>
        <v>1276.8474786799898</v>
      </c>
      <c r="AF8" s="27">
        <f>(1/(2*LOG(3.7*$I8/'Calculation Constants'!$B$4*1000)))^2</f>
        <v>1.1152845500629007E-2</v>
      </c>
      <c r="AG8" s="19">
        <f t="shared" si="10"/>
        <v>0.59621735446906032</v>
      </c>
      <c r="AH8" s="19">
        <f>IF($H8&gt;0,'Calculation Constants'!$B$9*Hydraulics!$K8^2/2/9.81/MAX($F$4:$F$253)*$H8,"")</f>
        <v>3.5282785359788842E-2</v>
      </c>
      <c r="AI8" s="19">
        <f t="shared" si="21"/>
        <v>0.63150013982884912</v>
      </c>
      <c r="AJ8" s="19">
        <f t="shared" si="11"/>
        <v>0</v>
      </c>
      <c r="AK8" s="19">
        <f t="shared" si="22"/>
        <v>208.59899944068457</v>
      </c>
      <c r="AL8" s="23">
        <f t="shared" si="12"/>
        <v>1276.4919994406846</v>
      </c>
      <c r="AM8" s="22">
        <f>(1/(2*LOG(3.7*($I8-0.008)/'Calculation Constants'!$B$5*1000)))^2</f>
        <v>1.4104604303736145E-2</v>
      </c>
      <c r="AN8" s="19">
        <f t="shared" si="23"/>
        <v>0.75676661531854661</v>
      </c>
      <c r="AO8" s="19">
        <f>IF($H8&gt;0,'Calculation Constants'!$B$9*Hydraulics!$K8^2/2/9.81/MAX($F$4:$F$253)*$H8,"")</f>
        <v>3.5282785359788842E-2</v>
      </c>
      <c r="AP8" s="19">
        <f t="shared" si="24"/>
        <v>0.7920494006783354</v>
      </c>
      <c r="AQ8" s="19">
        <f t="shared" si="13"/>
        <v>0</v>
      </c>
      <c r="AR8" s="19">
        <f t="shared" si="25"/>
        <v>207.95680239728699</v>
      </c>
      <c r="AS8" s="23">
        <f t="shared" si="14"/>
        <v>1275.849802397287</v>
      </c>
    </row>
    <row r="9" spans="1:45">
      <c r="A9" s="84" t="s">
        <v>76</v>
      </c>
      <c r="B9" s="85"/>
      <c r="C9" s="85"/>
      <c r="D9" s="86"/>
      <c r="E9" s="35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6"/>
        <v>2</v>
      </c>
      <c r="I9" s="19">
        <v>2.2000000000000002</v>
      </c>
      <c r="J9" s="36">
        <f>'Flow Rate Calculations'!$B$7</f>
        <v>4.0831050228310497</v>
      </c>
      <c r="K9" s="36">
        <f t="shared" si="15"/>
        <v>1.0741261942924094</v>
      </c>
      <c r="L9" s="37">
        <f>$I9*$K9/'Calculation Constants'!$B$7</f>
        <v>2091219.139330355</v>
      </c>
      <c r="M9" s="37" t="str">
        <f t="shared" si="1"/>
        <v>Greater Dynamic Pressures</v>
      </c>
      <c r="N9" s="23">
        <f t="shared" si="16"/>
        <v>201.44514551434304</v>
      </c>
      <c r="O9" s="56">
        <f t="shared" si="2"/>
        <v>201.17184834998716</v>
      </c>
      <c r="P9" s="65">
        <f>MAX(I9*1000/'Calculation Constants'!$B$14,O9*10*I9*1000/2/('Calculation Constants'!$B$12*1000*'Calculation Constants'!$B$13))</f>
        <v>14.752602212332391</v>
      </c>
      <c r="Q9" s="67">
        <f t="shared" si="3"/>
        <v>1590079.2460802321</v>
      </c>
      <c r="R9" s="27">
        <f>(1/(2*LOG(3.7*$I9/'Calculation Constants'!$B$2*1000)))^2</f>
        <v>8.4679866037394684E-3</v>
      </c>
      <c r="S9" s="19">
        <f t="shared" si="17"/>
        <v>0.45268811177167712</v>
      </c>
      <c r="T9" s="19">
        <f>IF($H9&gt;0,'Calculation Constants'!$B$9*Hydraulics!$K9^2/2/9.81/MAX($F$4:$F$253)*$H9,"")</f>
        <v>3.5282785359788842E-2</v>
      </c>
      <c r="U9" s="19">
        <f t="shared" si="18"/>
        <v>0.48797089713146596</v>
      </c>
      <c r="V9" s="19">
        <f t="shared" si="4"/>
        <v>0</v>
      </c>
      <c r="W9" s="19">
        <f t="shared" si="5"/>
        <v>201.44514551434304</v>
      </c>
      <c r="X9" s="23">
        <f t="shared" si="6"/>
        <v>1276.5781455143431</v>
      </c>
      <c r="Y9" s="22">
        <f>(1/(2*LOG(3.7*$I9/'Calculation Constants'!$B$3*1000)))^2</f>
        <v>9.4904462912918219E-3</v>
      </c>
      <c r="Z9" s="19">
        <f t="shared" si="7"/>
        <v>0.50734754464280807</v>
      </c>
      <c r="AA9" s="19">
        <f>IF($H9&gt;0,'Calculation Constants'!$B$9*Hydraulics!$K9^2/2/9.81/MAX($F$4:$F$253)*$H9,"")</f>
        <v>3.5282785359788842E-2</v>
      </c>
      <c r="AB9" s="19">
        <f t="shared" si="27"/>
        <v>0.54263033000259686</v>
      </c>
      <c r="AC9" s="19">
        <f t="shared" si="8"/>
        <v>0</v>
      </c>
      <c r="AD9" s="19">
        <f t="shared" si="20"/>
        <v>201.17184834998716</v>
      </c>
      <c r="AE9" s="23">
        <f t="shared" si="9"/>
        <v>1276.3048483499872</v>
      </c>
      <c r="AF9" s="27">
        <f>(1/(2*LOG(3.7*$I9/'Calculation Constants'!$B$4*1000)))^2</f>
        <v>1.1152845500629007E-2</v>
      </c>
      <c r="AG9" s="19">
        <f t="shared" si="10"/>
        <v>0.59621735446906032</v>
      </c>
      <c r="AH9" s="19">
        <f>IF($H9&gt;0,'Calculation Constants'!$B$9*Hydraulics!$K9^2/2/9.81/MAX($F$4:$F$253)*$H9,"")</f>
        <v>3.5282785359788842E-2</v>
      </c>
      <c r="AI9" s="19">
        <f t="shared" si="21"/>
        <v>0.63150013982884912</v>
      </c>
      <c r="AJ9" s="19">
        <f t="shared" si="11"/>
        <v>0</v>
      </c>
      <c r="AK9" s="19">
        <f t="shared" si="22"/>
        <v>200.7274993008557</v>
      </c>
      <c r="AL9" s="23">
        <f t="shared" si="12"/>
        <v>1275.8604993008557</v>
      </c>
      <c r="AM9" s="22">
        <f>(1/(2*LOG(3.7*($I9-0.008)/'Calculation Constants'!$B$5*1000)))^2</f>
        <v>1.4104604303736145E-2</v>
      </c>
      <c r="AN9" s="19">
        <f t="shared" si="23"/>
        <v>0.75676661531854661</v>
      </c>
      <c r="AO9" s="19">
        <f>IF($H9&gt;0,'Calculation Constants'!$B$9*Hydraulics!$K9^2/2/9.81/MAX($F$4:$F$253)*$H9,"")</f>
        <v>3.5282785359788842E-2</v>
      </c>
      <c r="AP9" s="19">
        <f t="shared" si="24"/>
        <v>0.7920494006783354</v>
      </c>
      <c r="AQ9" s="19">
        <f t="shared" si="13"/>
        <v>0</v>
      </c>
      <c r="AR9" s="19">
        <f t="shared" si="25"/>
        <v>199.92475299660873</v>
      </c>
      <c r="AS9" s="23">
        <f t="shared" si="14"/>
        <v>1275.0577529966088</v>
      </c>
    </row>
    <row r="10" spans="1:45">
      <c r="A10" s="21" t="s">
        <v>15</v>
      </c>
      <c r="B10" s="13" t="s">
        <v>17</v>
      </c>
      <c r="C10" s="13" t="s">
        <v>41</v>
      </c>
      <c r="D10" s="34" t="s">
        <v>40</v>
      </c>
      <c r="E10" s="35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6"/>
        <v>2</v>
      </c>
      <c r="I10" s="19">
        <v>2.2000000000000002</v>
      </c>
      <c r="J10" s="36">
        <f>'Flow Rate Calculations'!$B$7</f>
        <v>4.0831050228310497</v>
      </c>
      <c r="K10" s="36">
        <f t="shared" si="15"/>
        <v>1.0741261942924094</v>
      </c>
      <c r="L10" s="37">
        <f>$I10*$K10/'Calculation Constants'!$B$7</f>
        <v>2091219.139330355</v>
      </c>
      <c r="M10" s="37" t="str">
        <f t="shared" si="1"/>
        <v>Greater Dynamic Pressures</v>
      </c>
      <c r="N10" s="23">
        <f t="shared" si="16"/>
        <v>193.32217461721166</v>
      </c>
      <c r="O10" s="56">
        <f t="shared" si="2"/>
        <v>192.9942180199846</v>
      </c>
      <c r="P10" s="65">
        <f>MAX(I10*1000/'Calculation Constants'!$B$14,O10*10*I10*1000/2/('Calculation Constants'!$B$12*1000*'Calculation Constants'!$B$13))</f>
        <v>14.152909321465538</v>
      </c>
      <c r="Q10" s="67">
        <f t="shared" si="3"/>
        <v>1525861.1906872301</v>
      </c>
      <c r="R10" s="27">
        <f>(1/(2*LOG(3.7*$I10/'Calculation Constants'!$B$2*1000)))^2</f>
        <v>8.4679866037394684E-3</v>
      </c>
      <c r="S10" s="19">
        <f t="shared" si="17"/>
        <v>0.45268811177167712</v>
      </c>
      <c r="T10" s="19">
        <f>IF($H10&gt;0,'Calculation Constants'!$B$9*Hydraulics!$K10^2/2/9.81/MAX($F$4:$F$253)*$H10,"")</f>
        <v>3.5282785359788842E-2</v>
      </c>
      <c r="U10" s="19">
        <f t="shared" si="18"/>
        <v>0.48797089713146596</v>
      </c>
      <c r="V10" s="19">
        <f t="shared" si="4"/>
        <v>0</v>
      </c>
      <c r="W10" s="19">
        <f t="shared" si="5"/>
        <v>193.32217461721166</v>
      </c>
      <c r="X10" s="23">
        <f t="shared" si="6"/>
        <v>1276.0901746172117</v>
      </c>
      <c r="Y10" s="22">
        <f>(1/(2*LOG(3.7*$I10/'Calculation Constants'!$B$3*1000)))^2</f>
        <v>9.4904462912918219E-3</v>
      </c>
      <c r="Z10" s="19">
        <f t="shared" si="7"/>
        <v>0.50734754464280807</v>
      </c>
      <c r="AA10" s="19">
        <f>IF($H10&gt;0,'Calculation Constants'!$B$9*Hydraulics!$K10^2/2/9.81/MAX($F$4:$F$253)*$H10,"")</f>
        <v>3.5282785359788842E-2</v>
      </c>
      <c r="AB10" s="19">
        <f t="shared" si="27"/>
        <v>0.54263033000259686</v>
      </c>
      <c r="AC10" s="19">
        <f t="shared" si="8"/>
        <v>0</v>
      </c>
      <c r="AD10" s="19">
        <f t="shared" si="20"/>
        <v>192.9942180199846</v>
      </c>
      <c r="AE10" s="23">
        <f t="shared" si="9"/>
        <v>1275.7622180199846</v>
      </c>
      <c r="AF10" s="27">
        <f>(1/(2*LOG(3.7*$I10/'Calculation Constants'!$B$4*1000)))^2</f>
        <v>1.1152845500629007E-2</v>
      </c>
      <c r="AG10" s="19">
        <f t="shared" si="10"/>
        <v>0.59621735446906032</v>
      </c>
      <c r="AH10" s="19">
        <f>IF($H10&gt;0,'Calculation Constants'!$B$9*Hydraulics!$K10^2/2/9.81/MAX($F$4:$F$253)*$H10,"")</f>
        <v>3.5282785359788842E-2</v>
      </c>
      <c r="AI10" s="19">
        <f t="shared" si="21"/>
        <v>0.63150013982884912</v>
      </c>
      <c r="AJ10" s="19">
        <f t="shared" si="11"/>
        <v>0</v>
      </c>
      <c r="AK10" s="19">
        <f t="shared" si="22"/>
        <v>192.46099916102685</v>
      </c>
      <c r="AL10" s="23">
        <f t="shared" si="12"/>
        <v>1275.2289991610269</v>
      </c>
      <c r="AM10" s="22">
        <f>(1/(2*LOG(3.7*($I10-0.008)/'Calculation Constants'!$B$5*1000)))^2</f>
        <v>1.4104604303736145E-2</v>
      </c>
      <c r="AN10" s="19">
        <f t="shared" si="23"/>
        <v>0.75676661531854661</v>
      </c>
      <c r="AO10" s="19">
        <f>IF($H10&gt;0,'Calculation Constants'!$B$9*Hydraulics!$K10^2/2/9.81/MAX($F$4:$F$253)*$H10,"")</f>
        <v>3.5282785359788842E-2</v>
      </c>
      <c r="AP10" s="19">
        <f t="shared" si="24"/>
        <v>0.7920494006783354</v>
      </c>
      <c r="AQ10" s="19">
        <f t="shared" si="13"/>
        <v>0</v>
      </c>
      <c r="AR10" s="19">
        <f t="shared" si="25"/>
        <v>191.49770359593049</v>
      </c>
      <c r="AS10" s="23">
        <f t="shared" si="14"/>
        <v>1274.2657035959305</v>
      </c>
    </row>
    <row r="11" spans="1:45">
      <c r="A11" s="41" t="s">
        <v>16</v>
      </c>
      <c r="B11" s="18">
        <v>2</v>
      </c>
      <c r="C11" s="12">
        <f>IF(B11&gt;0,VLOOKUP(B11,$F$4:$G$253,2)+D11,"")</f>
        <v>1079.018</v>
      </c>
      <c r="D11" s="42">
        <v>10</v>
      </c>
      <c r="E11" s="35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6"/>
        <v>2</v>
      </c>
      <c r="I11" s="19">
        <v>2.2000000000000002</v>
      </c>
      <c r="J11" s="36">
        <f>'Flow Rate Calculations'!$B$7</f>
        <v>4.0831050228310497</v>
      </c>
      <c r="K11" s="36">
        <f t="shared" si="15"/>
        <v>1.0741261942924094</v>
      </c>
      <c r="L11" s="37">
        <f>$I11*$K11/'Calculation Constants'!$B$7</f>
        <v>2091219.139330355</v>
      </c>
      <c r="M11" s="37" t="str">
        <f t="shared" si="1"/>
        <v>Greater Dynamic Pressures</v>
      </c>
      <c r="N11" s="23">
        <f t="shared" si="16"/>
        <v>185.87620372008018</v>
      </c>
      <c r="O11" s="56">
        <f t="shared" si="2"/>
        <v>185.49358768998195</v>
      </c>
      <c r="P11" s="65">
        <f>MAX(I11*1000/'Calculation Constants'!$B$14,O11*10*I11*1000/2/('Calculation Constants'!$B$12*1000*'Calculation Constants'!$B$13))</f>
        <v>13.75</v>
      </c>
      <c r="Q11" s="67">
        <f t="shared" si="3"/>
        <v>1482695.7604373412</v>
      </c>
      <c r="R11" s="27">
        <f>(1/(2*LOG(3.7*$I11/'Calculation Constants'!$B$2*1000)))^2</f>
        <v>8.4679866037394684E-3</v>
      </c>
      <c r="S11" s="19">
        <f t="shared" si="17"/>
        <v>0.45268811177167712</v>
      </c>
      <c r="T11" s="19">
        <f>IF($H11&gt;0,'Calculation Constants'!$B$9*Hydraulics!$K11^2/2/9.81/MAX($F$4:$F$253)*$H11,"")</f>
        <v>3.5282785359788842E-2</v>
      </c>
      <c r="U11" s="19">
        <f t="shared" si="18"/>
        <v>0.48797089713146596</v>
      </c>
      <c r="V11" s="19">
        <f t="shared" si="4"/>
        <v>0</v>
      </c>
      <c r="W11" s="19">
        <f t="shared" si="5"/>
        <v>185.87620372008018</v>
      </c>
      <c r="X11" s="23">
        <f t="shared" si="6"/>
        <v>1275.6022037200803</v>
      </c>
      <c r="Y11" s="22">
        <f>(1/(2*LOG(3.7*$I11/'Calculation Constants'!$B$3*1000)))^2</f>
        <v>9.4904462912918219E-3</v>
      </c>
      <c r="Z11" s="19">
        <f t="shared" si="7"/>
        <v>0.50734754464280807</v>
      </c>
      <c r="AA11" s="19">
        <f>IF($H11&gt;0,'Calculation Constants'!$B$9*Hydraulics!$K11^2/2/9.81/MAX($F$4:$F$253)*$H11,"")</f>
        <v>3.5282785359788842E-2</v>
      </c>
      <c r="AB11" s="19">
        <f t="shared" si="27"/>
        <v>0.54263033000259686</v>
      </c>
      <c r="AC11" s="19">
        <f t="shared" si="8"/>
        <v>0</v>
      </c>
      <c r="AD11" s="19">
        <f t="shared" si="20"/>
        <v>185.49358768998195</v>
      </c>
      <c r="AE11" s="23">
        <f t="shared" si="9"/>
        <v>1275.2195876899821</v>
      </c>
      <c r="AF11" s="27">
        <f>(1/(2*LOG(3.7*$I11/'Calculation Constants'!$B$4*1000)))^2</f>
        <v>1.1152845500629007E-2</v>
      </c>
      <c r="AG11" s="19">
        <f t="shared" si="10"/>
        <v>0.59621735446906032</v>
      </c>
      <c r="AH11" s="19">
        <f>IF($H11&gt;0,'Calculation Constants'!$B$9*Hydraulics!$K11^2/2/9.81/MAX($F$4:$F$253)*$H11,"")</f>
        <v>3.5282785359788842E-2</v>
      </c>
      <c r="AI11" s="19">
        <f t="shared" si="21"/>
        <v>0.63150013982884912</v>
      </c>
      <c r="AJ11" s="19">
        <f t="shared" si="11"/>
        <v>0</v>
      </c>
      <c r="AK11" s="19">
        <f t="shared" si="22"/>
        <v>184.87149902119791</v>
      </c>
      <c r="AL11" s="23">
        <f t="shared" si="12"/>
        <v>1274.597499021198</v>
      </c>
      <c r="AM11" s="22">
        <f>(1/(2*LOG(3.7*($I11-0.008)/'Calculation Constants'!$B$5*1000)))^2</f>
        <v>1.4104604303736145E-2</v>
      </c>
      <c r="AN11" s="19">
        <f t="shared" si="23"/>
        <v>0.75676661531854661</v>
      </c>
      <c r="AO11" s="19">
        <f>IF($H11&gt;0,'Calculation Constants'!$B$9*Hydraulics!$K11^2/2/9.81/MAX($F$4:$F$253)*$H11,"")</f>
        <v>3.5282785359788842E-2</v>
      </c>
      <c r="AP11" s="19">
        <f t="shared" si="24"/>
        <v>0.7920494006783354</v>
      </c>
      <c r="AQ11" s="19">
        <f t="shared" si="13"/>
        <v>0</v>
      </c>
      <c r="AR11" s="19">
        <f t="shared" si="25"/>
        <v>183.74765419525215</v>
      </c>
      <c r="AS11" s="23">
        <f t="shared" si="14"/>
        <v>1273.4736541952523</v>
      </c>
    </row>
    <row r="12" spans="1:45">
      <c r="A12" s="41" t="s">
        <v>19</v>
      </c>
      <c r="B12" s="18">
        <v>500</v>
      </c>
      <c r="C12" s="12">
        <f>IF(B12&gt;0,VLOOKUP(B12,$F$4:$G$253,2)+D12,"")</f>
        <v>929.62900000000002</v>
      </c>
      <c r="D12" s="42">
        <v>10</v>
      </c>
      <c r="E12" s="35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6"/>
        <v>2</v>
      </c>
      <c r="I12" s="19">
        <v>2.2000000000000002</v>
      </c>
      <c r="J12" s="36">
        <f>'Flow Rate Calculations'!$B$7</f>
        <v>4.0831050228310497</v>
      </c>
      <c r="K12" s="36">
        <f t="shared" si="15"/>
        <v>1.0741261942924094</v>
      </c>
      <c r="L12" s="37">
        <f>$I12*$K12/'Calculation Constants'!$B$7</f>
        <v>2091219.139330355</v>
      </c>
      <c r="M12" s="37" t="str">
        <f t="shared" si="1"/>
        <v>Greater Dynamic Pressures</v>
      </c>
      <c r="N12" s="23">
        <f t="shared" si="16"/>
        <v>180.98323282294882</v>
      </c>
      <c r="O12" s="56">
        <f t="shared" si="2"/>
        <v>180.54595735997941</v>
      </c>
      <c r="P12" s="65">
        <f>MAX(I12*1000/'Calculation Constants'!$B$14,O12*10*I12*1000/2/('Calculation Constants'!$B$12*1000*'Calculation Constants'!$B$13))</f>
        <v>13.75</v>
      </c>
      <c r="Q12" s="67">
        <f t="shared" si="3"/>
        <v>1482695.7604373412</v>
      </c>
      <c r="R12" s="27">
        <f>(1/(2*LOG(3.7*$I12/'Calculation Constants'!$B$2*1000)))^2</f>
        <v>8.4679866037394684E-3</v>
      </c>
      <c r="S12" s="19">
        <f t="shared" si="17"/>
        <v>0.45268811177167712</v>
      </c>
      <c r="T12" s="19">
        <f>IF($H12&gt;0,'Calculation Constants'!$B$9*Hydraulics!$K12^2/2/9.81/MAX($F$4:$F$253)*$H12,"")</f>
        <v>3.5282785359788842E-2</v>
      </c>
      <c r="U12" s="19">
        <f t="shared" si="18"/>
        <v>0.48797089713146596</v>
      </c>
      <c r="V12" s="19">
        <f t="shared" si="4"/>
        <v>0</v>
      </c>
      <c r="W12" s="19">
        <f t="shared" si="5"/>
        <v>180.98323282294882</v>
      </c>
      <c r="X12" s="23">
        <f t="shared" si="6"/>
        <v>1275.1142328229489</v>
      </c>
      <c r="Y12" s="22">
        <f>(1/(2*LOG(3.7*$I12/'Calculation Constants'!$B$3*1000)))^2</f>
        <v>9.4904462912918219E-3</v>
      </c>
      <c r="Z12" s="19">
        <f t="shared" si="7"/>
        <v>0.50734754464280807</v>
      </c>
      <c r="AA12" s="19">
        <f>IF($H12&gt;0,'Calculation Constants'!$B$9*Hydraulics!$K12^2/2/9.81/MAX($F$4:$F$253)*$H12,"")</f>
        <v>3.5282785359788842E-2</v>
      </c>
      <c r="AB12" s="19">
        <f t="shared" si="27"/>
        <v>0.54263033000259686</v>
      </c>
      <c r="AC12" s="19">
        <f t="shared" si="8"/>
        <v>0</v>
      </c>
      <c r="AD12" s="19">
        <f t="shared" si="20"/>
        <v>180.54595735997941</v>
      </c>
      <c r="AE12" s="23">
        <f t="shared" si="9"/>
        <v>1274.6769573599795</v>
      </c>
      <c r="AF12" s="27">
        <f>(1/(2*LOG(3.7*$I12/'Calculation Constants'!$B$4*1000)))^2</f>
        <v>1.1152845500629007E-2</v>
      </c>
      <c r="AG12" s="19">
        <f t="shared" si="10"/>
        <v>0.59621735446906032</v>
      </c>
      <c r="AH12" s="19">
        <f>IF($H12&gt;0,'Calculation Constants'!$B$9*Hydraulics!$K12^2/2/9.81/MAX($F$4:$F$253)*$H12,"")</f>
        <v>3.5282785359788842E-2</v>
      </c>
      <c r="AI12" s="19">
        <f t="shared" si="21"/>
        <v>0.63150013982884912</v>
      </c>
      <c r="AJ12" s="19">
        <f t="shared" si="11"/>
        <v>0</v>
      </c>
      <c r="AK12" s="19">
        <f t="shared" si="22"/>
        <v>179.83499888136907</v>
      </c>
      <c r="AL12" s="23">
        <f t="shared" si="12"/>
        <v>1273.9659988813692</v>
      </c>
      <c r="AM12" s="22">
        <f>(1/(2*LOG(3.7*($I12-0.008)/'Calculation Constants'!$B$5*1000)))^2</f>
        <v>1.4104604303736145E-2</v>
      </c>
      <c r="AN12" s="19">
        <f t="shared" si="23"/>
        <v>0.75676661531854661</v>
      </c>
      <c r="AO12" s="19">
        <f>IF($H12&gt;0,'Calculation Constants'!$B$9*Hydraulics!$K12^2/2/9.81/MAX($F$4:$F$253)*$H12,"")</f>
        <v>3.5282785359788842E-2</v>
      </c>
      <c r="AP12" s="19">
        <f t="shared" si="24"/>
        <v>0.7920494006783354</v>
      </c>
      <c r="AQ12" s="19">
        <f t="shared" si="13"/>
        <v>0</v>
      </c>
      <c r="AR12" s="19">
        <f t="shared" si="25"/>
        <v>178.55060479457393</v>
      </c>
      <c r="AS12" s="23">
        <f t="shared" si="14"/>
        <v>1272.681604794574</v>
      </c>
    </row>
    <row r="13" spans="1:45">
      <c r="A13" s="41"/>
      <c r="B13" s="18"/>
      <c r="C13" s="12" t="str">
        <f>IF(B13&gt;0,VLOOKUP(B13,$F$4:$G$253,2)+D13,"")</f>
        <v/>
      </c>
      <c r="D13" s="42"/>
      <c r="E13" s="35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6"/>
        <v>2</v>
      </c>
      <c r="I13" s="19">
        <v>2.2000000000000002</v>
      </c>
      <c r="J13" s="36">
        <f>'Flow Rate Calculations'!$B$7</f>
        <v>4.0831050228310497</v>
      </c>
      <c r="K13" s="36">
        <f t="shared" si="15"/>
        <v>1.0741261942924094</v>
      </c>
      <c r="L13" s="37">
        <f>$I13*$K13/'Calculation Constants'!$B$7</f>
        <v>2091219.139330355</v>
      </c>
      <c r="M13" s="37" t="str">
        <f t="shared" si="1"/>
        <v>Greater Dynamic Pressures</v>
      </c>
      <c r="N13" s="23">
        <f t="shared" si="16"/>
        <v>176.72926192581758</v>
      </c>
      <c r="O13" s="56">
        <f t="shared" si="2"/>
        <v>176.237327029977</v>
      </c>
      <c r="P13" s="65">
        <f>MAX(I13*1000/'Calculation Constants'!$B$14,O13*10*I13*1000/2/('Calculation Constants'!$B$12*1000*'Calculation Constants'!$B$13))</f>
        <v>13.75</v>
      </c>
      <c r="Q13" s="67">
        <f t="shared" si="3"/>
        <v>1482695.7604373412</v>
      </c>
      <c r="R13" s="27">
        <f>(1/(2*LOG(3.7*$I13/'Calculation Constants'!$B$2*1000)))^2</f>
        <v>8.4679866037394684E-3</v>
      </c>
      <c r="S13" s="19">
        <f t="shared" si="17"/>
        <v>0.45268811177167712</v>
      </c>
      <c r="T13" s="19">
        <f>IF($H13&gt;0,'Calculation Constants'!$B$9*Hydraulics!$K13^2/2/9.81/MAX($F$4:$F$253)*$H13,"")</f>
        <v>3.5282785359788842E-2</v>
      </c>
      <c r="U13" s="19">
        <f t="shared" si="18"/>
        <v>0.48797089713146596</v>
      </c>
      <c r="V13" s="19">
        <f t="shared" si="4"/>
        <v>0</v>
      </c>
      <c r="W13" s="19">
        <f t="shared" si="5"/>
        <v>176.72926192581758</v>
      </c>
      <c r="X13" s="23">
        <f t="shared" si="6"/>
        <v>1274.6262619258175</v>
      </c>
      <c r="Y13" s="22">
        <f>(1/(2*LOG(3.7*$I13/'Calculation Constants'!$B$3*1000)))^2</f>
        <v>9.4904462912918219E-3</v>
      </c>
      <c r="Z13" s="19">
        <f t="shared" si="7"/>
        <v>0.50734754464280807</v>
      </c>
      <c r="AA13" s="19">
        <f>IF($H13&gt;0,'Calculation Constants'!$B$9*Hydraulics!$K13^2/2/9.81/MAX($F$4:$F$253)*$H13,"")</f>
        <v>3.5282785359788842E-2</v>
      </c>
      <c r="AB13" s="19">
        <f t="shared" si="27"/>
        <v>0.54263033000259686</v>
      </c>
      <c r="AC13" s="19">
        <f t="shared" si="8"/>
        <v>0</v>
      </c>
      <c r="AD13" s="19">
        <f t="shared" si="20"/>
        <v>176.237327029977</v>
      </c>
      <c r="AE13" s="23">
        <f t="shared" si="9"/>
        <v>1274.1343270299769</v>
      </c>
      <c r="AF13" s="27">
        <f>(1/(2*LOG(3.7*$I13/'Calculation Constants'!$B$4*1000)))^2</f>
        <v>1.1152845500629007E-2</v>
      </c>
      <c r="AG13" s="19">
        <f t="shared" si="10"/>
        <v>0.59621735446906032</v>
      </c>
      <c r="AH13" s="19">
        <f>IF($H13&gt;0,'Calculation Constants'!$B$9*Hydraulics!$K13^2/2/9.81/MAX($F$4:$F$253)*$H13,"")</f>
        <v>3.5282785359788842E-2</v>
      </c>
      <c r="AI13" s="19">
        <f t="shared" si="21"/>
        <v>0.63150013982884912</v>
      </c>
      <c r="AJ13" s="19">
        <f t="shared" si="11"/>
        <v>0</v>
      </c>
      <c r="AK13" s="19">
        <f t="shared" si="22"/>
        <v>175.43749874154037</v>
      </c>
      <c r="AL13" s="23">
        <f t="shared" si="12"/>
        <v>1273.3344987415403</v>
      </c>
      <c r="AM13" s="22">
        <f>(1/(2*LOG(3.7*($I13-0.008)/'Calculation Constants'!$B$5*1000)))^2</f>
        <v>1.4104604303736145E-2</v>
      </c>
      <c r="AN13" s="19">
        <f t="shared" si="23"/>
        <v>0.75676661531854661</v>
      </c>
      <c r="AO13" s="19">
        <f>IF($H13&gt;0,'Calculation Constants'!$B$9*Hydraulics!$K13^2/2/9.81/MAX($F$4:$F$253)*$H13,"")</f>
        <v>3.5282785359788842E-2</v>
      </c>
      <c r="AP13" s="19">
        <f t="shared" si="24"/>
        <v>0.7920494006783354</v>
      </c>
      <c r="AQ13" s="19">
        <f t="shared" si="13"/>
        <v>0</v>
      </c>
      <c r="AR13" s="19">
        <f t="shared" si="25"/>
        <v>173.99255539389583</v>
      </c>
      <c r="AS13" s="23">
        <f t="shared" si="14"/>
        <v>1271.8895553938958</v>
      </c>
    </row>
    <row r="14" spans="1:45">
      <c r="A14" s="41"/>
      <c r="B14" s="18"/>
      <c r="C14" s="12" t="str">
        <f>IF(B14&gt;0,VLOOKUP(B14,$F$4:$G$253,2)+D14,"")</f>
        <v/>
      </c>
      <c r="D14" s="42"/>
      <c r="E14" s="35" t="str">
        <f t="shared" si="0"/>
        <v/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6"/>
        <v>2</v>
      </c>
      <c r="I14" s="19">
        <v>2.2000000000000002</v>
      </c>
      <c r="J14" s="36">
        <f>'Flow Rate Calculations'!$B$7</f>
        <v>4.0831050228310497</v>
      </c>
      <c r="K14" s="36">
        <f t="shared" si="15"/>
        <v>1.0741261942924094</v>
      </c>
      <c r="L14" s="37">
        <f>$I14*$K14/'Calculation Constants'!$B$7</f>
        <v>2091219.139330355</v>
      </c>
      <c r="M14" s="37" t="str">
        <f t="shared" si="1"/>
        <v>Greater Dynamic Pressures</v>
      </c>
      <c r="N14" s="23">
        <f t="shared" si="16"/>
        <v>172.46829102868605</v>
      </c>
      <c r="O14" s="56">
        <f t="shared" si="2"/>
        <v>171.92169669997429</v>
      </c>
      <c r="P14" s="65">
        <f>MAX(I14*1000/'Calculation Constants'!$B$14,O14*10*I14*1000/2/('Calculation Constants'!$B$12*1000*'Calculation Constants'!$B$13))</f>
        <v>13.75</v>
      </c>
      <c r="Q14" s="67">
        <f t="shared" si="3"/>
        <v>1482695.7604373412</v>
      </c>
      <c r="R14" s="27">
        <f>(1/(2*LOG(3.7*$I14/'Calculation Constants'!$B$2*1000)))^2</f>
        <v>8.4679866037394684E-3</v>
      </c>
      <c r="S14" s="19">
        <f t="shared" si="17"/>
        <v>0.45268811177167712</v>
      </c>
      <c r="T14" s="19">
        <f>IF($H14&gt;0,'Calculation Constants'!$B$9*Hydraulics!$K14^2/2/9.81/MAX($F$4:$F$253)*$H14,"")</f>
        <v>3.5282785359788842E-2</v>
      </c>
      <c r="U14" s="19">
        <f t="shared" si="18"/>
        <v>0.48797089713146596</v>
      </c>
      <c r="V14" s="19">
        <f t="shared" si="4"/>
        <v>0</v>
      </c>
      <c r="W14" s="19">
        <f t="shared" si="5"/>
        <v>172.46829102868605</v>
      </c>
      <c r="X14" s="23">
        <f t="shared" si="6"/>
        <v>1274.1382910286861</v>
      </c>
      <c r="Y14" s="22">
        <f>(1/(2*LOG(3.7*$I14/'Calculation Constants'!$B$3*1000)))^2</f>
        <v>9.4904462912918219E-3</v>
      </c>
      <c r="Z14" s="19">
        <f t="shared" si="7"/>
        <v>0.50734754464280807</v>
      </c>
      <c r="AA14" s="19">
        <f>IF($H14&gt;0,'Calculation Constants'!$B$9*Hydraulics!$K14^2/2/9.81/MAX($F$4:$F$253)*$H14,"")</f>
        <v>3.5282785359788842E-2</v>
      </c>
      <c r="AB14" s="19">
        <f t="shared" si="27"/>
        <v>0.54263033000259686</v>
      </c>
      <c r="AC14" s="19">
        <f t="shared" si="8"/>
        <v>0</v>
      </c>
      <c r="AD14" s="19">
        <f t="shared" si="20"/>
        <v>171.92169669997429</v>
      </c>
      <c r="AE14" s="23">
        <f t="shared" si="9"/>
        <v>1273.5916966999744</v>
      </c>
      <c r="AF14" s="27">
        <f>(1/(2*LOG(3.7*$I14/'Calculation Constants'!$B$4*1000)))^2</f>
        <v>1.1152845500629007E-2</v>
      </c>
      <c r="AG14" s="19">
        <f t="shared" si="10"/>
        <v>0.59621735446906032</v>
      </c>
      <c r="AH14" s="19">
        <f>IF($H14&gt;0,'Calculation Constants'!$B$9*Hydraulics!$K14^2/2/9.81/MAX($F$4:$F$253)*$H14,"")</f>
        <v>3.5282785359788842E-2</v>
      </c>
      <c r="AI14" s="19">
        <f t="shared" si="21"/>
        <v>0.63150013982884912</v>
      </c>
      <c r="AJ14" s="19">
        <f t="shared" si="11"/>
        <v>0</v>
      </c>
      <c r="AK14" s="19">
        <f t="shared" si="22"/>
        <v>171.03299860171137</v>
      </c>
      <c r="AL14" s="23">
        <f t="shared" si="12"/>
        <v>1272.7029986017114</v>
      </c>
      <c r="AM14" s="22">
        <f>(1/(2*LOG(3.7*($I14-0.008)/'Calculation Constants'!$B$5*1000)))^2</f>
        <v>1.4104604303736145E-2</v>
      </c>
      <c r="AN14" s="19">
        <f t="shared" si="23"/>
        <v>0.75676661531854661</v>
      </c>
      <c r="AO14" s="19">
        <f>IF($H14&gt;0,'Calculation Constants'!$B$9*Hydraulics!$K14^2/2/9.81/MAX($F$4:$F$253)*$H14,"")</f>
        <v>3.5282785359788842E-2</v>
      </c>
      <c r="AP14" s="19">
        <f t="shared" si="24"/>
        <v>0.7920494006783354</v>
      </c>
      <c r="AQ14" s="19">
        <f t="shared" si="13"/>
        <v>0</v>
      </c>
      <c r="AR14" s="19">
        <f t="shared" si="25"/>
        <v>169.42750599321744</v>
      </c>
      <c r="AS14" s="23">
        <f t="shared" si="14"/>
        <v>1271.0975059932175</v>
      </c>
    </row>
    <row r="15" spans="1:45" ht="15.75" thickBot="1">
      <c r="A15" s="43"/>
      <c r="B15" s="44"/>
      <c r="C15" s="45" t="str">
        <f>IF(B15&gt;0,VLOOKUP(B15,$F$4:$G$253,2)+D15,"")</f>
        <v/>
      </c>
      <c r="D15" s="46"/>
      <c r="E15" s="35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6"/>
        <v>2</v>
      </c>
      <c r="I15" s="19">
        <v>2.2000000000000002</v>
      </c>
      <c r="J15" s="36">
        <f>'Flow Rate Calculations'!$B$7</f>
        <v>4.0831050228310497</v>
      </c>
      <c r="K15" s="36">
        <f t="shared" si="15"/>
        <v>1.0741261942924094</v>
      </c>
      <c r="L15" s="37">
        <f>$I15*$K15/'Calculation Constants'!$B$7</f>
        <v>2091219.139330355</v>
      </c>
      <c r="M15" s="37" t="str">
        <f t="shared" si="1"/>
        <v>Greater Dynamic Pressures</v>
      </c>
      <c r="N15" s="23">
        <f t="shared" si="16"/>
        <v>177.69832013155474</v>
      </c>
      <c r="O15" s="56">
        <f t="shared" si="2"/>
        <v>177.0970663699718</v>
      </c>
      <c r="P15" s="65">
        <f>MAX(I15*1000/'Calculation Constants'!$B$14,O15*10*I15*1000/2/('Calculation Constants'!$B$12*1000*'Calculation Constants'!$B$13))</f>
        <v>13.75</v>
      </c>
      <c r="Q15" s="67">
        <f t="shared" si="3"/>
        <v>1482695.7604373412</v>
      </c>
      <c r="R15" s="27">
        <f>(1/(2*LOG(3.7*$I15/'Calculation Constants'!$B$2*1000)))^2</f>
        <v>8.4679866037394684E-3</v>
      </c>
      <c r="S15" s="19">
        <f t="shared" si="17"/>
        <v>0.45268811177167712</v>
      </c>
      <c r="T15" s="19">
        <f>IF($H15&gt;0,'Calculation Constants'!$B$9*Hydraulics!$K15^2/2/9.81/MAX($F$4:$F$253)*$H15,"")</f>
        <v>3.5282785359788842E-2</v>
      </c>
      <c r="U15" s="19">
        <f t="shared" si="18"/>
        <v>0.48797089713146596</v>
      </c>
      <c r="V15" s="19">
        <f t="shared" si="4"/>
        <v>0</v>
      </c>
      <c r="W15" s="19">
        <f t="shared" si="5"/>
        <v>177.69832013155474</v>
      </c>
      <c r="X15" s="23">
        <f t="shared" si="6"/>
        <v>1273.6503201315547</v>
      </c>
      <c r="Y15" s="22">
        <f>(1/(2*LOG(3.7*$I15/'Calculation Constants'!$B$3*1000)))^2</f>
        <v>9.4904462912918219E-3</v>
      </c>
      <c r="Z15" s="19">
        <f t="shared" si="7"/>
        <v>0.50734754464280807</v>
      </c>
      <c r="AA15" s="19">
        <f>IF($H15&gt;0,'Calculation Constants'!$B$9*Hydraulics!$K15^2/2/9.81/MAX($F$4:$F$253)*$H15,"")</f>
        <v>3.5282785359788842E-2</v>
      </c>
      <c r="AB15" s="19">
        <f t="shared" si="27"/>
        <v>0.54263033000259686</v>
      </c>
      <c r="AC15" s="19">
        <f t="shared" si="8"/>
        <v>0</v>
      </c>
      <c r="AD15" s="19">
        <f t="shared" si="20"/>
        <v>177.0970663699718</v>
      </c>
      <c r="AE15" s="23">
        <f t="shared" si="9"/>
        <v>1273.0490663699718</v>
      </c>
      <c r="AF15" s="27">
        <f>(1/(2*LOG(3.7*$I15/'Calculation Constants'!$B$4*1000)))^2</f>
        <v>1.1152845500629007E-2</v>
      </c>
      <c r="AG15" s="19">
        <f t="shared" si="10"/>
        <v>0.59621735446906032</v>
      </c>
      <c r="AH15" s="19">
        <f>IF($H15&gt;0,'Calculation Constants'!$B$9*Hydraulics!$K15^2/2/9.81/MAX($F$4:$F$253)*$H15,"")</f>
        <v>3.5282785359788842E-2</v>
      </c>
      <c r="AI15" s="19">
        <f t="shared" si="21"/>
        <v>0.63150013982884912</v>
      </c>
      <c r="AJ15" s="19">
        <f t="shared" si="11"/>
        <v>0</v>
      </c>
      <c r="AK15" s="19">
        <f t="shared" si="22"/>
        <v>176.11949846188259</v>
      </c>
      <c r="AL15" s="23">
        <f t="shared" si="12"/>
        <v>1272.0714984618826</v>
      </c>
      <c r="AM15" s="22">
        <f>(1/(2*LOG(3.7*($I15-0.008)/'Calculation Constants'!$B$5*1000)))^2</f>
        <v>1.4104604303736145E-2</v>
      </c>
      <c r="AN15" s="19">
        <f t="shared" si="23"/>
        <v>0.75676661531854661</v>
      </c>
      <c r="AO15" s="19">
        <f>IF($H15&gt;0,'Calculation Constants'!$B$9*Hydraulics!$K15^2/2/9.81/MAX($F$4:$F$253)*$H15,"")</f>
        <v>3.5282785359788842E-2</v>
      </c>
      <c r="AP15" s="19">
        <f t="shared" si="24"/>
        <v>0.7920494006783354</v>
      </c>
      <c r="AQ15" s="19">
        <f t="shared" si="13"/>
        <v>0</v>
      </c>
      <c r="AR15" s="19">
        <f t="shared" si="25"/>
        <v>174.35345659253926</v>
      </c>
      <c r="AS15" s="23">
        <f t="shared" si="14"/>
        <v>1270.3054565925393</v>
      </c>
    </row>
    <row r="16" spans="1:45">
      <c r="E16" s="35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6"/>
        <v>2</v>
      </c>
      <c r="I16" s="19">
        <v>2.2000000000000002</v>
      </c>
      <c r="J16" s="36">
        <f>'Flow Rate Calculations'!$B$7</f>
        <v>4.0831050228310497</v>
      </c>
      <c r="K16" s="36">
        <f t="shared" si="15"/>
        <v>1.0741261942924094</v>
      </c>
      <c r="L16" s="37">
        <f>$I16*$K16/'Calculation Constants'!$B$7</f>
        <v>2091219.139330355</v>
      </c>
      <c r="M16" s="37" t="str">
        <f t="shared" si="1"/>
        <v>Greater Dynamic Pressures</v>
      </c>
      <c r="N16" s="23">
        <f t="shared" si="16"/>
        <v>183.05534923442337</v>
      </c>
      <c r="O16" s="56">
        <f t="shared" si="2"/>
        <v>182.39943603996926</v>
      </c>
      <c r="P16" s="65">
        <f>MAX(I16*1000/'Calculation Constants'!$B$14,O16*10*I16*1000/2/('Calculation Constants'!$B$12*1000*'Calculation Constants'!$B$13))</f>
        <v>13.75</v>
      </c>
      <c r="Q16" s="67">
        <f t="shared" si="3"/>
        <v>1482695.7604373412</v>
      </c>
      <c r="R16" s="27">
        <f>(1/(2*LOG(3.7*$I16/'Calculation Constants'!$B$2*1000)))^2</f>
        <v>8.4679866037394684E-3</v>
      </c>
      <c r="S16" s="19">
        <f t="shared" si="17"/>
        <v>0.45268811177167712</v>
      </c>
      <c r="T16" s="19">
        <f>IF($H16&gt;0,'Calculation Constants'!$B$9*Hydraulics!$K16^2/2/9.81/MAX($F$4:$F$253)*$H16,"")</f>
        <v>3.5282785359788842E-2</v>
      </c>
      <c r="U16" s="19">
        <f t="shared" si="18"/>
        <v>0.48797089713146596</v>
      </c>
      <c r="V16" s="19">
        <f t="shared" si="4"/>
        <v>0</v>
      </c>
      <c r="W16" s="19">
        <f t="shared" si="5"/>
        <v>183.05534923442337</v>
      </c>
      <c r="X16" s="23">
        <f t="shared" si="6"/>
        <v>1273.1623492344233</v>
      </c>
      <c r="Y16" s="22">
        <f>(1/(2*LOG(3.7*$I16/'Calculation Constants'!$B$3*1000)))^2</f>
        <v>9.4904462912918219E-3</v>
      </c>
      <c r="Z16" s="19">
        <f t="shared" si="7"/>
        <v>0.50734754464280807</v>
      </c>
      <c r="AA16" s="19">
        <f>IF($H16&gt;0,'Calculation Constants'!$B$9*Hydraulics!$K16^2/2/9.81/MAX($F$4:$F$253)*$H16,"")</f>
        <v>3.5282785359788842E-2</v>
      </c>
      <c r="AB16" s="19">
        <f t="shared" si="27"/>
        <v>0.54263033000259686</v>
      </c>
      <c r="AC16" s="19">
        <f t="shared" si="8"/>
        <v>0</v>
      </c>
      <c r="AD16" s="19">
        <f t="shared" si="20"/>
        <v>182.39943603996926</v>
      </c>
      <c r="AE16" s="23">
        <f t="shared" si="9"/>
        <v>1272.5064360399692</v>
      </c>
      <c r="AF16" s="27">
        <f>(1/(2*LOG(3.7*$I16/'Calculation Constants'!$B$4*1000)))^2</f>
        <v>1.1152845500629007E-2</v>
      </c>
      <c r="AG16" s="19">
        <f t="shared" si="10"/>
        <v>0.59621735446906032</v>
      </c>
      <c r="AH16" s="19">
        <f>IF($H16&gt;0,'Calculation Constants'!$B$9*Hydraulics!$K16^2/2/9.81/MAX($F$4:$F$253)*$H16,"")</f>
        <v>3.5282785359788842E-2</v>
      </c>
      <c r="AI16" s="19">
        <f t="shared" si="21"/>
        <v>0.63150013982884912</v>
      </c>
      <c r="AJ16" s="19">
        <f t="shared" si="11"/>
        <v>0</v>
      </c>
      <c r="AK16" s="19">
        <f t="shared" si="22"/>
        <v>181.33299832205375</v>
      </c>
      <c r="AL16" s="23">
        <f t="shared" si="12"/>
        <v>1271.4399983220537</v>
      </c>
      <c r="AM16" s="22">
        <f>(1/(2*LOG(3.7*($I16-0.008)/'Calculation Constants'!$B$5*1000)))^2</f>
        <v>1.4104604303736145E-2</v>
      </c>
      <c r="AN16" s="19">
        <f t="shared" si="23"/>
        <v>0.75676661531854661</v>
      </c>
      <c r="AO16" s="19">
        <f>IF($H16&gt;0,'Calculation Constants'!$B$9*Hydraulics!$K16^2/2/9.81/MAX($F$4:$F$253)*$H16,"")</f>
        <v>3.5282785359788842E-2</v>
      </c>
      <c r="AP16" s="19">
        <f t="shared" si="24"/>
        <v>0.7920494006783354</v>
      </c>
      <c r="AQ16" s="19">
        <f t="shared" si="13"/>
        <v>0</v>
      </c>
      <c r="AR16" s="19">
        <f t="shared" si="25"/>
        <v>179.40640719186104</v>
      </c>
      <c r="AS16" s="23">
        <f t="shared" si="14"/>
        <v>1269.513407191861</v>
      </c>
    </row>
    <row r="17" spans="1:45">
      <c r="A17" s="52"/>
      <c r="C17" s="11">
        <f>C11-C12</f>
        <v>149.38900000000001</v>
      </c>
      <c r="E17" s="35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6"/>
        <v>2</v>
      </c>
      <c r="I17" s="19">
        <v>2.2000000000000002</v>
      </c>
      <c r="J17" s="36">
        <f>'Flow Rate Calculations'!$B$7</f>
        <v>4.0831050228310497</v>
      </c>
      <c r="K17" s="36">
        <f t="shared" si="15"/>
        <v>1.0741261942924094</v>
      </c>
      <c r="L17" s="37">
        <f>$I17*$K17/'Calculation Constants'!$B$7</f>
        <v>2091219.139330355</v>
      </c>
      <c r="M17" s="37" t="str">
        <f t="shared" si="1"/>
        <v>Greater Dynamic Pressures</v>
      </c>
      <c r="N17" s="23">
        <f t="shared" si="16"/>
        <v>186.89337833729201</v>
      </c>
      <c r="O17" s="56">
        <f t="shared" si="2"/>
        <v>186.18280570996671</v>
      </c>
      <c r="P17" s="65">
        <f>MAX(I17*1000/'Calculation Constants'!$B$14,O17*10*I17*1000/2/('Calculation Constants'!$B$12*1000*'Calculation Constants'!$B$13))</f>
        <v>13.75</v>
      </c>
      <c r="Q17" s="67">
        <f t="shared" si="3"/>
        <v>1482695.7604373412</v>
      </c>
      <c r="R17" s="27">
        <f>(1/(2*LOG(3.7*$I17/'Calculation Constants'!$B$2*1000)))^2</f>
        <v>8.4679866037394684E-3</v>
      </c>
      <c r="S17" s="19">
        <f t="shared" si="17"/>
        <v>0.45268811177167712</v>
      </c>
      <c r="T17" s="19">
        <f>IF($H17&gt;0,'Calculation Constants'!$B$9*Hydraulics!$K17^2/2/9.81/MAX($F$4:$F$253)*$H17,"")</f>
        <v>3.5282785359788842E-2</v>
      </c>
      <c r="U17" s="19">
        <f t="shared" si="18"/>
        <v>0.48797089713146596</v>
      </c>
      <c r="V17" s="19">
        <f t="shared" si="4"/>
        <v>0</v>
      </c>
      <c r="W17" s="19">
        <f t="shared" si="5"/>
        <v>186.89337833729201</v>
      </c>
      <c r="X17" s="23">
        <f t="shared" si="6"/>
        <v>1272.674378337292</v>
      </c>
      <c r="Y17" s="22">
        <f>(1/(2*LOG(3.7*$I17/'Calculation Constants'!$B$3*1000)))^2</f>
        <v>9.4904462912918219E-3</v>
      </c>
      <c r="Z17" s="19">
        <f t="shared" si="7"/>
        <v>0.50734754464280807</v>
      </c>
      <c r="AA17" s="19">
        <f>IF($H17&gt;0,'Calculation Constants'!$B$9*Hydraulics!$K17^2/2/9.81/MAX($F$4:$F$253)*$H17,"")</f>
        <v>3.5282785359788842E-2</v>
      </c>
      <c r="AB17" s="19">
        <f t="shared" si="27"/>
        <v>0.54263033000259686</v>
      </c>
      <c r="AC17" s="19">
        <f t="shared" si="8"/>
        <v>0</v>
      </c>
      <c r="AD17" s="19">
        <f t="shared" si="20"/>
        <v>186.18280570996671</v>
      </c>
      <c r="AE17" s="23">
        <f t="shared" si="9"/>
        <v>1271.9638057099667</v>
      </c>
      <c r="AF17" s="27">
        <f>(1/(2*LOG(3.7*$I17/'Calculation Constants'!$B$4*1000)))^2</f>
        <v>1.1152845500629007E-2</v>
      </c>
      <c r="AG17" s="19">
        <f t="shared" si="10"/>
        <v>0.59621735446906032</v>
      </c>
      <c r="AH17" s="19">
        <f>IF($H17&gt;0,'Calculation Constants'!$B$9*Hydraulics!$K17^2/2/9.81/MAX($F$4:$F$253)*$H17,"")</f>
        <v>3.5282785359788842E-2</v>
      </c>
      <c r="AI17" s="19">
        <f t="shared" si="21"/>
        <v>0.63150013982884912</v>
      </c>
      <c r="AJ17" s="19">
        <f t="shared" si="11"/>
        <v>0</v>
      </c>
      <c r="AK17" s="19">
        <f t="shared" si="22"/>
        <v>185.02749818222492</v>
      </c>
      <c r="AL17" s="23">
        <f t="shared" si="12"/>
        <v>1270.8084981822249</v>
      </c>
      <c r="AM17" s="22">
        <f>(1/(2*LOG(3.7*($I17-0.008)/'Calculation Constants'!$B$5*1000)))^2</f>
        <v>1.4104604303736145E-2</v>
      </c>
      <c r="AN17" s="19">
        <f t="shared" si="23"/>
        <v>0.75676661531854661</v>
      </c>
      <c r="AO17" s="19">
        <f>IF($H17&gt;0,'Calculation Constants'!$B$9*Hydraulics!$K17^2/2/9.81/MAX($F$4:$F$253)*$H17,"")</f>
        <v>3.5282785359788842E-2</v>
      </c>
      <c r="AP17" s="19">
        <f t="shared" si="24"/>
        <v>0.7920494006783354</v>
      </c>
      <c r="AQ17" s="19">
        <f t="shared" si="13"/>
        <v>0</v>
      </c>
      <c r="AR17" s="19">
        <f t="shared" si="25"/>
        <v>182.94035779118281</v>
      </c>
      <c r="AS17" s="23">
        <f t="shared" si="14"/>
        <v>1268.7213577911828</v>
      </c>
    </row>
    <row r="18" spans="1:45">
      <c r="E18" s="35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6"/>
        <v>2</v>
      </c>
      <c r="I18" s="19">
        <v>2.2000000000000002</v>
      </c>
      <c r="J18" s="36">
        <f>'Flow Rate Calculations'!$B$7</f>
        <v>4.0831050228310497</v>
      </c>
      <c r="K18" s="36">
        <f t="shared" si="15"/>
        <v>1.0741261942924094</v>
      </c>
      <c r="L18" s="37">
        <f>$I18*$K18/'Calculation Constants'!$B$7</f>
        <v>2091219.139330355</v>
      </c>
      <c r="M18" s="37" t="str">
        <f t="shared" si="1"/>
        <v>Greater Dynamic Pressures</v>
      </c>
      <c r="N18" s="23">
        <f t="shared" si="16"/>
        <v>190.29640744016046</v>
      </c>
      <c r="O18" s="56">
        <f t="shared" si="2"/>
        <v>189.531175379964</v>
      </c>
      <c r="P18" s="65">
        <f>MAX(I18*1000/'Calculation Constants'!$B$14,O18*10*I18*1000/2/('Calculation Constants'!$B$12*1000*'Calculation Constants'!$B$13))</f>
        <v>13.898952861197362</v>
      </c>
      <c r="Q18" s="67">
        <f t="shared" si="3"/>
        <v>1498655.5949044784</v>
      </c>
      <c r="R18" s="27">
        <f>(1/(2*LOG(3.7*$I18/'Calculation Constants'!$B$2*1000)))^2</f>
        <v>8.4679866037394684E-3</v>
      </c>
      <c r="S18" s="19">
        <f t="shared" si="17"/>
        <v>0.45268811177167712</v>
      </c>
      <c r="T18" s="19">
        <f>IF($H18&gt;0,'Calculation Constants'!$B$9*Hydraulics!$K18^2/2/9.81/MAX($F$4:$F$253)*$H18,"")</f>
        <v>3.5282785359788842E-2</v>
      </c>
      <c r="U18" s="19">
        <f t="shared" si="18"/>
        <v>0.48797089713146596</v>
      </c>
      <c r="V18" s="19">
        <f t="shared" si="4"/>
        <v>0</v>
      </c>
      <c r="W18" s="19">
        <f t="shared" si="5"/>
        <v>190.29640744016046</v>
      </c>
      <c r="X18" s="23">
        <f t="shared" si="6"/>
        <v>1272.1864074401606</v>
      </c>
      <c r="Y18" s="22">
        <f>(1/(2*LOG(3.7*$I18/'Calculation Constants'!$B$3*1000)))^2</f>
        <v>9.4904462912918219E-3</v>
      </c>
      <c r="Z18" s="19">
        <f t="shared" si="7"/>
        <v>0.50734754464280807</v>
      </c>
      <c r="AA18" s="19">
        <f>IF($H18&gt;0,'Calculation Constants'!$B$9*Hydraulics!$K18^2/2/9.81/MAX($F$4:$F$253)*$H18,"")</f>
        <v>3.5282785359788842E-2</v>
      </c>
      <c r="AB18" s="19">
        <f t="shared" si="27"/>
        <v>0.54263033000259686</v>
      </c>
      <c r="AC18" s="19">
        <f t="shared" si="8"/>
        <v>0</v>
      </c>
      <c r="AD18" s="19">
        <f t="shared" si="20"/>
        <v>189.531175379964</v>
      </c>
      <c r="AE18" s="23">
        <f t="shared" si="9"/>
        <v>1271.4211753799641</v>
      </c>
      <c r="AF18" s="27">
        <f>(1/(2*LOG(3.7*$I18/'Calculation Constants'!$B$4*1000)))^2</f>
        <v>1.1152845500629007E-2</v>
      </c>
      <c r="AG18" s="19">
        <f t="shared" si="10"/>
        <v>0.59621735446906032</v>
      </c>
      <c r="AH18" s="19">
        <f>IF($H18&gt;0,'Calculation Constants'!$B$9*Hydraulics!$K18^2/2/9.81/MAX($F$4:$F$253)*$H18,"")</f>
        <v>3.5282785359788842E-2</v>
      </c>
      <c r="AI18" s="19">
        <f t="shared" si="21"/>
        <v>0.63150013982884912</v>
      </c>
      <c r="AJ18" s="19">
        <f t="shared" si="11"/>
        <v>0</v>
      </c>
      <c r="AK18" s="19">
        <f t="shared" si="22"/>
        <v>188.28699804239591</v>
      </c>
      <c r="AL18" s="23">
        <f t="shared" si="12"/>
        <v>1270.176998042396</v>
      </c>
      <c r="AM18" s="22">
        <f>(1/(2*LOG(3.7*($I18-0.008)/'Calculation Constants'!$B$5*1000)))^2</f>
        <v>1.4104604303736145E-2</v>
      </c>
      <c r="AN18" s="19">
        <f t="shared" si="23"/>
        <v>0.75676661531854661</v>
      </c>
      <c r="AO18" s="19">
        <f>IF($H18&gt;0,'Calculation Constants'!$B$9*Hydraulics!$K18^2/2/9.81/MAX($F$4:$F$253)*$H18,"")</f>
        <v>3.5282785359788842E-2</v>
      </c>
      <c r="AP18" s="19">
        <f t="shared" si="24"/>
        <v>0.7920494006783354</v>
      </c>
      <c r="AQ18" s="19">
        <f t="shared" si="13"/>
        <v>0</v>
      </c>
      <c r="AR18" s="19">
        <f t="shared" si="25"/>
        <v>186.0393083905044</v>
      </c>
      <c r="AS18" s="23">
        <f t="shared" si="14"/>
        <v>1267.9293083905045</v>
      </c>
    </row>
    <row r="19" spans="1:45">
      <c r="E19" s="35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6"/>
        <v>2</v>
      </c>
      <c r="I19" s="19">
        <v>2.2000000000000002</v>
      </c>
      <c r="J19" s="36">
        <f>'Flow Rate Calculations'!$B$7</f>
        <v>4.0831050228310497</v>
      </c>
      <c r="K19" s="36">
        <f t="shared" si="15"/>
        <v>1.0741261942924094</v>
      </c>
      <c r="L19" s="37">
        <f>$I19*$K19/'Calculation Constants'!$B$7</f>
        <v>2091219.139330355</v>
      </c>
      <c r="M19" s="37" t="str">
        <f t="shared" si="1"/>
        <v>Greater Dynamic Pressures</v>
      </c>
      <c r="N19" s="23">
        <f t="shared" si="16"/>
        <v>193.76143654302928</v>
      </c>
      <c r="O19" s="56">
        <f t="shared" si="2"/>
        <v>192.94154504996163</v>
      </c>
      <c r="P19" s="65">
        <f>MAX(I19*1000/'Calculation Constants'!$B$14,O19*10*I19*1000/2/('Calculation Constants'!$B$12*1000*'Calculation Constants'!$B$13))</f>
        <v>14.149046636997188</v>
      </c>
      <c r="Q19" s="67">
        <f t="shared" si="3"/>
        <v>1525447.4405044487</v>
      </c>
      <c r="R19" s="27">
        <f>(1/(2*LOG(3.7*$I19/'Calculation Constants'!$B$2*1000)))^2</f>
        <v>8.4679866037394684E-3</v>
      </c>
      <c r="S19" s="19">
        <f t="shared" si="17"/>
        <v>0.45268811177167712</v>
      </c>
      <c r="T19" s="19">
        <f>IF($H19&gt;0,'Calculation Constants'!$B$9*Hydraulics!$K19^2/2/9.81/MAX($F$4:$F$253)*$H19,"")</f>
        <v>3.5282785359788842E-2</v>
      </c>
      <c r="U19" s="19">
        <f t="shared" si="18"/>
        <v>0.48797089713146596</v>
      </c>
      <c r="V19" s="19">
        <f t="shared" si="4"/>
        <v>0</v>
      </c>
      <c r="W19" s="19">
        <f t="shared" si="5"/>
        <v>193.76143654302928</v>
      </c>
      <c r="X19" s="23">
        <f t="shared" si="6"/>
        <v>1271.6984365430292</v>
      </c>
      <c r="Y19" s="22">
        <f>(1/(2*LOG(3.7*$I19/'Calculation Constants'!$B$3*1000)))^2</f>
        <v>9.4904462912918219E-3</v>
      </c>
      <c r="Z19" s="19">
        <f t="shared" si="7"/>
        <v>0.50734754464280807</v>
      </c>
      <c r="AA19" s="19">
        <f>IF($H19&gt;0,'Calculation Constants'!$B$9*Hydraulics!$K19^2/2/9.81/MAX($F$4:$F$253)*$H19,"")</f>
        <v>3.5282785359788842E-2</v>
      </c>
      <c r="AB19" s="19">
        <f t="shared" si="27"/>
        <v>0.54263033000259686</v>
      </c>
      <c r="AC19" s="19">
        <f t="shared" si="8"/>
        <v>0</v>
      </c>
      <c r="AD19" s="19">
        <f t="shared" si="20"/>
        <v>192.94154504996163</v>
      </c>
      <c r="AE19" s="23">
        <f t="shared" si="9"/>
        <v>1270.8785450499615</v>
      </c>
      <c r="AF19" s="27">
        <f>(1/(2*LOG(3.7*$I19/'Calculation Constants'!$B$4*1000)))^2</f>
        <v>1.1152845500629007E-2</v>
      </c>
      <c r="AG19" s="19">
        <f t="shared" si="10"/>
        <v>0.59621735446906032</v>
      </c>
      <c r="AH19" s="19">
        <f>IF($H19&gt;0,'Calculation Constants'!$B$9*Hydraulics!$K19^2/2/9.81/MAX($F$4:$F$253)*$H19,"")</f>
        <v>3.5282785359788842E-2</v>
      </c>
      <c r="AI19" s="19">
        <f t="shared" si="21"/>
        <v>0.63150013982884912</v>
      </c>
      <c r="AJ19" s="19">
        <f t="shared" si="11"/>
        <v>0</v>
      </c>
      <c r="AK19" s="19">
        <f t="shared" si="22"/>
        <v>191.60849790256725</v>
      </c>
      <c r="AL19" s="23">
        <f t="shared" si="12"/>
        <v>1269.5454979025671</v>
      </c>
      <c r="AM19" s="22">
        <f>(1/(2*LOG(3.7*($I19-0.008)/'Calculation Constants'!$B$5*1000)))^2</f>
        <v>1.4104604303736145E-2</v>
      </c>
      <c r="AN19" s="19">
        <f t="shared" si="23"/>
        <v>0.75676661531854661</v>
      </c>
      <c r="AO19" s="19">
        <f>IF($H19&gt;0,'Calculation Constants'!$B$9*Hydraulics!$K19^2/2/9.81/MAX($F$4:$F$253)*$H19,"")</f>
        <v>3.5282785359788842E-2</v>
      </c>
      <c r="AP19" s="19">
        <f t="shared" si="24"/>
        <v>0.7920494006783354</v>
      </c>
      <c r="AQ19" s="19">
        <f t="shared" si="13"/>
        <v>0</v>
      </c>
      <c r="AR19" s="19">
        <f t="shared" si="25"/>
        <v>189.20025898982635</v>
      </c>
      <c r="AS19" s="23">
        <f t="shared" si="14"/>
        <v>1267.1372589898263</v>
      </c>
    </row>
    <row r="20" spans="1:45">
      <c r="E20" s="35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6"/>
        <v>2</v>
      </c>
      <c r="I20" s="19">
        <v>2.2000000000000002</v>
      </c>
      <c r="J20" s="36">
        <f>'Flow Rate Calculations'!$B$7</f>
        <v>4.0831050228310497</v>
      </c>
      <c r="K20" s="36">
        <f t="shared" si="15"/>
        <v>1.0741261942924094</v>
      </c>
      <c r="L20" s="37">
        <f>$I20*$K20/'Calculation Constants'!$B$7</f>
        <v>2091219.139330355</v>
      </c>
      <c r="M20" s="37" t="str">
        <f t="shared" si="1"/>
        <v>Greater Dynamic Pressures</v>
      </c>
      <c r="N20" s="23">
        <f t="shared" si="16"/>
        <v>196.32046564589768</v>
      </c>
      <c r="O20" s="56">
        <f t="shared" si="2"/>
        <v>195.44591471995886</v>
      </c>
      <c r="P20" s="65">
        <f>MAX(I20*1000/'Calculation Constants'!$B$14,O20*10*I20*1000/2/('Calculation Constants'!$B$12*1000*'Calculation Constants'!$B$13))</f>
        <v>14.332700412796983</v>
      </c>
      <c r="Q20" s="67">
        <f t="shared" si="3"/>
        <v>1545117.825986702</v>
      </c>
      <c r="R20" s="27">
        <f>(1/(2*LOG(3.7*$I20/'Calculation Constants'!$B$2*1000)))^2</f>
        <v>8.4679866037394684E-3</v>
      </c>
      <c r="S20" s="19">
        <f t="shared" si="17"/>
        <v>0.45268811177167712</v>
      </c>
      <c r="T20" s="19">
        <f>IF($H20&gt;0,'Calculation Constants'!$B$9*Hydraulics!$K20^2/2/9.81/MAX($F$4:$F$253)*$H20,"")</f>
        <v>3.5282785359788842E-2</v>
      </c>
      <c r="U20" s="19">
        <f t="shared" si="18"/>
        <v>0.48797089713146596</v>
      </c>
      <c r="V20" s="19">
        <f t="shared" si="4"/>
        <v>0</v>
      </c>
      <c r="W20" s="19">
        <f t="shared" si="5"/>
        <v>196.32046564589768</v>
      </c>
      <c r="X20" s="23">
        <f t="shared" si="6"/>
        <v>1271.2104656458978</v>
      </c>
      <c r="Y20" s="22">
        <f>(1/(2*LOG(3.7*$I20/'Calculation Constants'!$B$3*1000)))^2</f>
        <v>9.4904462912918219E-3</v>
      </c>
      <c r="Z20" s="19">
        <f t="shared" si="7"/>
        <v>0.50734754464280807</v>
      </c>
      <c r="AA20" s="19">
        <f>IF($H20&gt;0,'Calculation Constants'!$B$9*Hydraulics!$K20^2/2/9.81/MAX($F$4:$F$253)*$H20,"")</f>
        <v>3.5282785359788842E-2</v>
      </c>
      <c r="AB20" s="19">
        <f t="shared" si="27"/>
        <v>0.54263033000259686</v>
      </c>
      <c r="AC20" s="19">
        <f t="shared" si="8"/>
        <v>0</v>
      </c>
      <c r="AD20" s="19">
        <f t="shared" si="20"/>
        <v>195.44591471995886</v>
      </c>
      <c r="AE20" s="23">
        <f t="shared" si="9"/>
        <v>1270.335914719959</v>
      </c>
      <c r="AF20" s="27">
        <f>(1/(2*LOG(3.7*$I20/'Calculation Constants'!$B$4*1000)))^2</f>
        <v>1.1152845500629007E-2</v>
      </c>
      <c r="AG20" s="19">
        <f t="shared" si="10"/>
        <v>0.59621735446906032</v>
      </c>
      <c r="AH20" s="19">
        <f>IF($H20&gt;0,'Calculation Constants'!$B$9*Hydraulics!$K20^2/2/9.81/MAX($F$4:$F$253)*$H20,"")</f>
        <v>3.5282785359788842E-2</v>
      </c>
      <c r="AI20" s="19">
        <f t="shared" si="21"/>
        <v>0.63150013982884912</v>
      </c>
      <c r="AJ20" s="19">
        <f t="shared" si="11"/>
        <v>0</v>
      </c>
      <c r="AK20" s="19">
        <f t="shared" si="22"/>
        <v>194.02399776273819</v>
      </c>
      <c r="AL20" s="23">
        <f t="shared" si="12"/>
        <v>1268.9139977627383</v>
      </c>
      <c r="AM20" s="22">
        <f>(1/(2*LOG(3.7*($I20-0.008)/'Calculation Constants'!$B$5*1000)))^2</f>
        <v>1.4104604303736145E-2</v>
      </c>
      <c r="AN20" s="19">
        <f t="shared" si="23"/>
        <v>0.75676661531854661</v>
      </c>
      <c r="AO20" s="19">
        <f>IF($H20&gt;0,'Calculation Constants'!$B$9*Hydraulics!$K20^2/2/9.81/MAX($F$4:$F$253)*$H20,"")</f>
        <v>3.5282785359788842E-2</v>
      </c>
      <c r="AP20" s="19">
        <f t="shared" si="24"/>
        <v>0.7920494006783354</v>
      </c>
      <c r="AQ20" s="19">
        <f t="shared" si="13"/>
        <v>0</v>
      </c>
      <c r="AR20" s="19">
        <f t="shared" si="25"/>
        <v>191.4552095891479</v>
      </c>
      <c r="AS20" s="23">
        <f t="shared" si="14"/>
        <v>1266.345209589148</v>
      </c>
    </row>
    <row r="21" spans="1:45" ht="15.75" thickBot="1">
      <c r="E21" s="35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6"/>
        <v>2</v>
      </c>
      <c r="I21" s="19">
        <v>2.2000000000000002</v>
      </c>
      <c r="J21" s="36">
        <f>'Flow Rate Calculations'!$B$7</f>
        <v>4.0831050228310497</v>
      </c>
      <c r="K21" s="36">
        <f t="shared" si="15"/>
        <v>1.0741261942924094</v>
      </c>
      <c r="L21" s="37">
        <f>$I21*$K21/'Calculation Constants'!$B$7</f>
        <v>2091219.139330355</v>
      </c>
      <c r="M21" s="37" t="str">
        <f t="shared" si="1"/>
        <v>Greater Dynamic Pressures</v>
      </c>
      <c r="N21" s="23">
        <f t="shared" si="16"/>
        <v>199.60849474876636</v>
      </c>
      <c r="O21" s="56">
        <f t="shared" si="2"/>
        <v>198.67928438995636</v>
      </c>
      <c r="P21" s="65">
        <f>MAX(I21*1000/'Calculation Constants'!$B$14,O21*10*I21*1000/2/('Calculation Constants'!$B$12*1000*'Calculation Constants'!$B$13))</f>
        <v>14.569814188596801</v>
      </c>
      <c r="Q21" s="67">
        <f t="shared" si="3"/>
        <v>1570509.1668541315</v>
      </c>
      <c r="R21" s="27">
        <f>(1/(2*LOG(3.7*$I21/'Calculation Constants'!$B$2*1000)))^2</f>
        <v>8.4679866037394684E-3</v>
      </c>
      <c r="S21" s="19">
        <f t="shared" si="17"/>
        <v>0.45268811177167712</v>
      </c>
      <c r="T21" s="19">
        <f>IF($H21&gt;0,'Calculation Constants'!$B$9*Hydraulics!$K21^2/2/9.81/MAX($F$4:$F$253)*$H21,"")</f>
        <v>3.5282785359788842E-2</v>
      </c>
      <c r="U21" s="19">
        <f t="shared" si="18"/>
        <v>0.48797089713146596</v>
      </c>
      <c r="V21" s="19">
        <f t="shared" si="4"/>
        <v>0</v>
      </c>
      <c r="W21" s="19">
        <f t="shared" si="5"/>
        <v>199.60849474876636</v>
      </c>
      <c r="X21" s="23">
        <f t="shared" si="6"/>
        <v>1270.7224947487664</v>
      </c>
      <c r="Y21" s="22">
        <f>(1/(2*LOG(3.7*$I21/'Calculation Constants'!$B$3*1000)))^2</f>
        <v>9.4904462912918219E-3</v>
      </c>
      <c r="Z21" s="19">
        <f t="shared" si="7"/>
        <v>0.50734754464280807</v>
      </c>
      <c r="AA21" s="19">
        <f>IF($H21&gt;0,'Calculation Constants'!$B$9*Hydraulics!$K21^2/2/9.81/MAX($F$4:$F$253)*$H21,"")</f>
        <v>3.5282785359788842E-2</v>
      </c>
      <c r="AB21" s="19">
        <f t="shared" si="27"/>
        <v>0.54263033000259686</v>
      </c>
      <c r="AC21" s="19">
        <f t="shared" si="8"/>
        <v>0</v>
      </c>
      <c r="AD21" s="19">
        <f t="shared" si="20"/>
        <v>198.67928438995636</v>
      </c>
      <c r="AE21" s="23">
        <f t="shared" si="9"/>
        <v>1269.7932843899564</v>
      </c>
      <c r="AF21" s="27">
        <f>(1/(2*LOG(3.7*$I21/'Calculation Constants'!$B$4*1000)))^2</f>
        <v>1.1152845500629007E-2</v>
      </c>
      <c r="AG21" s="19">
        <f t="shared" si="10"/>
        <v>0.59621735446906032</v>
      </c>
      <c r="AH21" s="19">
        <f>IF($H21&gt;0,'Calculation Constants'!$B$9*Hydraulics!$K21^2/2/9.81/MAX($F$4:$F$253)*$H21,"")</f>
        <v>3.5282785359788842E-2</v>
      </c>
      <c r="AI21" s="19">
        <f t="shared" si="21"/>
        <v>0.63150013982884912</v>
      </c>
      <c r="AJ21" s="19">
        <f t="shared" si="11"/>
        <v>0</v>
      </c>
      <c r="AK21" s="19">
        <f t="shared" si="22"/>
        <v>197.1684976229094</v>
      </c>
      <c r="AL21" s="23">
        <f t="shared" si="12"/>
        <v>1268.2824976229094</v>
      </c>
      <c r="AM21" s="22">
        <f>(1/(2*LOG(3.7*($I21-0.008)/'Calculation Constants'!$B$5*1000)))^2</f>
        <v>1.4104604303736145E-2</v>
      </c>
      <c r="AN21" s="19">
        <f t="shared" si="23"/>
        <v>0.75676661531854661</v>
      </c>
      <c r="AO21" s="19">
        <f>IF($H21&gt;0,'Calculation Constants'!$B$9*Hydraulics!$K21^2/2/9.81/MAX($F$4:$F$253)*$H21,"")</f>
        <v>3.5282785359788842E-2</v>
      </c>
      <c r="AP21" s="19">
        <f t="shared" si="24"/>
        <v>0.7920494006783354</v>
      </c>
      <c r="AQ21" s="19">
        <f t="shared" si="13"/>
        <v>0</v>
      </c>
      <c r="AR21" s="19">
        <f t="shared" si="25"/>
        <v>194.43916018846971</v>
      </c>
      <c r="AS21" s="23">
        <f t="shared" si="14"/>
        <v>1265.5531601884697</v>
      </c>
    </row>
    <row r="22" spans="1:45">
      <c r="A22" s="48" t="s">
        <v>35</v>
      </c>
      <c r="B22" s="49" t="s">
        <v>37</v>
      </c>
      <c r="E22" s="35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6"/>
        <v>2</v>
      </c>
      <c r="I22" s="19">
        <v>2.2000000000000002</v>
      </c>
      <c r="J22" s="36">
        <f>'Flow Rate Calculations'!$B$7</f>
        <v>4.0831050228310497</v>
      </c>
      <c r="K22" s="36">
        <f t="shared" si="15"/>
        <v>1.0741261942924094</v>
      </c>
      <c r="L22" s="37">
        <f>$I22*$K22/'Calculation Constants'!$B$7</f>
        <v>2091219.139330355</v>
      </c>
      <c r="M22" s="37" t="str">
        <f t="shared" si="1"/>
        <v>Greater Dynamic Pressures</v>
      </c>
      <c r="N22" s="23">
        <f t="shared" si="16"/>
        <v>204.92352385163508</v>
      </c>
      <c r="O22" s="56">
        <f t="shared" si="2"/>
        <v>203.93965405995391</v>
      </c>
      <c r="P22" s="65">
        <f>MAX(I22*1000/'Calculation Constants'!$B$14,O22*10*I22*1000/2/('Calculation Constants'!$B$12*1000*'Calculation Constants'!$B$13))</f>
        <v>14.955574631063289</v>
      </c>
      <c r="Q22" s="67">
        <f t="shared" si="3"/>
        <v>1611806.4923177622</v>
      </c>
      <c r="R22" s="27">
        <f>(1/(2*LOG(3.7*$I22/'Calculation Constants'!$B$2*1000)))^2</f>
        <v>8.4679866037394684E-3</v>
      </c>
      <c r="S22" s="19">
        <f t="shared" si="17"/>
        <v>0.45268811177167712</v>
      </c>
      <c r="T22" s="19">
        <f>IF($H22&gt;0,'Calculation Constants'!$B$9*Hydraulics!$K22^2/2/9.81/MAX($F$4:$F$253)*$H22,"")</f>
        <v>3.5282785359788842E-2</v>
      </c>
      <c r="U22" s="19">
        <f t="shared" si="18"/>
        <v>0.48797089713146596</v>
      </c>
      <c r="V22" s="19">
        <f t="shared" si="4"/>
        <v>0</v>
      </c>
      <c r="W22" s="19">
        <f t="shared" si="5"/>
        <v>204.92352385163508</v>
      </c>
      <c r="X22" s="23">
        <f t="shared" si="6"/>
        <v>1270.234523851635</v>
      </c>
      <c r="Y22" s="22">
        <f>(1/(2*LOG(3.7*$I22/'Calculation Constants'!$B$3*1000)))^2</f>
        <v>9.4904462912918219E-3</v>
      </c>
      <c r="Z22" s="19">
        <f t="shared" si="7"/>
        <v>0.50734754464280807</v>
      </c>
      <c r="AA22" s="19">
        <f>IF($H22&gt;0,'Calculation Constants'!$B$9*Hydraulics!$K22^2/2/9.81/MAX($F$4:$F$253)*$H22,"")</f>
        <v>3.5282785359788842E-2</v>
      </c>
      <c r="AB22" s="19">
        <f t="shared" si="27"/>
        <v>0.54263033000259686</v>
      </c>
      <c r="AC22" s="19">
        <f t="shared" si="8"/>
        <v>0</v>
      </c>
      <c r="AD22" s="19">
        <f t="shared" si="20"/>
        <v>203.93965405995391</v>
      </c>
      <c r="AE22" s="23">
        <f t="shared" si="9"/>
        <v>1269.2506540599538</v>
      </c>
      <c r="AF22" s="27">
        <f>(1/(2*LOG(3.7*$I22/'Calculation Constants'!$B$4*1000)))^2</f>
        <v>1.1152845500629007E-2</v>
      </c>
      <c r="AG22" s="19">
        <f t="shared" si="10"/>
        <v>0.59621735446906032</v>
      </c>
      <c r="AH22" s="19">
        <f>IF($H22&gt;0,'Calculation Constants'!$B$9*Hydraulics!$K22^2/2/9.81/MAX($F$4:$F$253)*$H22,"")</f>
        <v>3.5282785359788842E-2</v>
      </c>
      <c r="AI22" s="19">
        <f t="shared" si="21"/>
        <v>0.63150013982884912</v>
      </c>
      <c r="AJ22" s="19">
        <f t="shared" si="11"/>
        <v>0</v>
      </c>
      <c r="AK22" s="19">
        <f t="shared" si="22"/>
        <v>202.33999748308065</v>
      </c>
      <c r="AL22" s="23">
        <f t="shared" si="12"/>
        <v>1267.6509974830806</v>
      </c>
      <c r="AM22" s="22">
        <f>(1/(2*LOG(3.7*($I22-0.008)/'Calculation Constants'!$B$5*1000)))^2</f>
        <v>1.4104604303736145E-2</v>
      </c>
      <c r="AN22" s="19">
        <f t="shared" si="23"/>
        <v>0.75676661531854661</v>
      </c>
      <c r="AO22" s="19">
        <f>IF($H22&gt;0,'Calculation Constants'!$B$9*Hydraulics!$K22^2/2/9.81/MAX($F$4:$F$253)*$H22,"")</f>
        <v>3.5282785359788842E-2</v>
      </c>
      <c r="AP22" s="19">
        <f t="shared" si="24"/>
        <v>0.7920494006783354</v>
      </c>
      <c r="AQ22" s="19">
        <f t="shared" si="13"/>
        <v>0</v>
      </c>
      <c r="AR22" s="19">
        <f t="shared" si="25"/>
        <v>199.45011078779157</v>
      </c>
      <c r="AS22" s="23">
        <f t="shared" si="14"/>
        <v>1264.7611107877915</v>
      </c>
    </row>
    <row r="23" spans="1:45" ht="15.75" thickBot="1">
      <c r="A23" s="50" t="s">
        <v>38</v>
      </c>
      <c r="B23" s="51">
        <v>2</v>
      </c>
      <c r="E23" s="35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6"/>
        <v>2</v>
      </c>
      <c r="I23" s="19">
        <v>2.2000000000000002</v>
      </c>
      <c r="J23" s="36">
        <f>'Flow Rate Calculations'!$B$7</f>
        <v>4.0831050228310497</v>
      </c>
      <c r="K23" s="36">
        <f t="shared" si="15"/>
        <v>1.0741261942924094</v>
      </c>
      <c r="L23" s="37">
        <f>$I23*$K23/'Calculation Constants'!$B$7</f>
        <v>2091219.139330355</v>
      </c>
      <c r="M23" s="37" t="str">
        <f t="shared" si="1"/>
        <v>Greater Dynamic Pressures</v>
      </c>
      <c r="N23" s="23">
        <f t="shared" si="16"/>
        <v>210.69555295450368</v>
      </c>
      <c r="O23" s="56">
        <f t="shared" si="2"/>
        <v>209.65702372995133</v>
      </c>
      <c r="P23" s="65">
        <f>MAX(I23*1000/'Calculation Constants'!$B$14,O23*10*I23*1000/2/('Calculation Constants'!$B$12*1000*'Calculation Constants'!$B$13))</f>
        <v>15.374848406863102</v>
      </c>
      <c r="Q23" s="67">
        <f t="shared" si="3"/>
        <v>1656674.9172254466</v>
      </c>
      <c r="R23" s="27">
        <f>(1/(2*LOG(3.7*$I23/'Calculation Constants'!$B$2*1000)))^2</f>
        <v>8.4679866037394684E-3</v>
      </c>
      <c r="S23" s="19">
        <f t="shared" si="17"/>
        <v>0.45268811177167712</v>
      </c>
      <c r="T23" s="19">
        <f>IF($H23&gt;0,'Calculation Constants'!$B$9*Hydraulics!$K23^2/2/9.81/MAX($F$4:$F$253)*$H23,"")</f>
        <v>3.5282785359788842E-2</v>
      </c>
      <c r="U23" s="19">
        <f t="shared" si="18"/>
        <v>0.48797089713146596</v>
      </c>
      <c r="V23" s="19">
        <f t="shared" si="4"/>
        <v>0</v>
      </c>
      <c r="W23" s="19">
        <f t="shared" si="5"/>
        <v>210.69555295450368</v>
      </c>
      <c r="X23" s="23">
        <f t="shared" si="6"/>
        <v>1269.7465529545036</v>
      </c>
      <c r="Y23" s="22">
        <f>(1/(2*LOG(3.7*$I23/'Calculation Constants'!$B$3*1000)))^2</f>
        <v>9.4904462912918219E-3</v>
      </c>
      <c r="Z23" s="19">
        <f t="shared" si="7"/>
        <v>0.50734754464280807</v>
      </c>
      <c r="AA23" s="19">
        <f>IF($H23&gt;0,'Calculation Constants'!$B$9*Hydraulics!$K23^2/2/9.81/MAX($F$4:$F$253)*$H23,"")</f>
        <v>3.5282785359788842E-2</v>
      </c>
      <c r="AB23" s="19">
        <f t="shared" si="27"/>
        <v>0.54263033000259686</v>
      </c>
      <c r="AC23" s="19">
        <f t="shared" si="8"/>
        <v>0</v>
      </c>
      <c r="AD23" s="19">
        <f t="shared" si="20"/>
        <v>209.65702372995133</v>
      </c>
      <c r="AE23" s="23">
        <f t="shared" si="9"/>
        <v>1268.7080237299513</v>
      </c>
      <c r="AF23" s="27">
        <f>(1/(2*LOG(3.7*$I23/'Calculation Constants'!$B$4*1000)))^2</f>
        <v>1.1152845500629007E-2</v>
      </c>
      <c r="AG23" s="19">
        <f t="shared" si="10"/>
        <v>0.59621735446906032</v>
      </c>
      <c r="AH23" s="19">
        <f>IF($H23&gt;0,'Calculation Constants'!$B$9*Hydraulics!$K23^2/2/9.81/MAX($F$4:$F$253)*$H23,"")</f>
        <v>3.5282785359788842E-2</v>
      </c>
      <c r="AI23" s="19">
        <f t="shared" si="21"/>
        <v>0.63150013982884912</v>
      </c>
      <c r="AJ23" s="19">
        <f t="shared" si="11"/>
        <v>0</v>
      </c>
      <c r="AK23" s="19">
        <f t="shared" si="22"/>
        <v>207.96849734325178</v>
      </c>
      <c r="AL23" s="23">
        <f t="shared" si="12"/>
        <v>1267.0194973432517</v>
      </c>
      <c r="AM23" s="22">
        <f>(1/(2*LOG(3.7*($I23-0.008)/'Calculation Constants'!$B$5*1000)))^2</f>
        <v>1.4104604303736145E-2</v>
      </c>
      <c r="AN23" s="19">
        <f t="shared" si="23"/>
        <v>0.75676661531854661</v>
      </c>
      <c r="AO23" s="19">
        <f>IF($H23&gt;0,'Calculation Constants'!$B$9*Hydraulics!$K23^2/2/9.81/MAX($F$4:$F$253)*$H23,"")</f>
        <v>3.5282785359788842E-2</v>
      </c>
      <c r="AP23" s="19">
        <f t="shared" si="24"/>
        <v>0.7920494006783354</v>
      </c>
      <c r="AQ23" s="19">
        <f t="shared" si="13"/>
        <v>0</v>
      </c>
      <c r="AR23" s="19">
        <f t="shared" si="25"/>
        <v>204.91806138711331</v>
      </c>
      <c r="AS23" s="23">
        <f t="shared" si="14"/>
        <v>1263.9690613871132</v>
      </c>
    </row>
    <row r="24" spans="1:45">
      <c r="E24" s="35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6"/>
        <v>2</v>
      </c>
      <c r="I24" s="19">
        <v>2.2000000000000002</v>
      </c>
      <c r="J24" s="36">
        <f>'Flow Rate Calculations'!$B$7</f>
        <v>4.0831050228310497</v>
      </c>
      <c r="K24" s="36">
        <f t="shared" si="15"/>
        <v>1.0741261942924094</v>
      </c>
      <c r="L24" s="37">
        <f>$I24*$K24/'Calculation Constants'!$B$7</f>
        <v>2091219.139330355</v>
      </c>
      <c r="M24" s="37" t="str">
        <f t="shared" si="1"/>
        <v>Greater Dynamic Pressures</v>
      </c>
      <c r="N24" s="23">
        <f t="shared" si="16"/>
        <v>214.97858205737225</v>
      </c>
      <c r="O24" s="56">
        <f t="shared" si="2"/>
        <v>213.88539339994873</v>
      </c>
      <c r="P24" s="65">
        <f>MAX(I24*1000/'Calculation Constants'!$B$14,O24*10*I24*1000/2/('Calculation Constants'!$B$12*1000*'Calculation Constants'!$B$13))</f>
        <v>15.684928849329577</v>
      </c>
      <c r="Q24" s="67">
        <f t="shared" si="3"/>
        <v>1689846.9039539357</v>
      </c>
      <c r="R24" s="27">
        <f>(1/(2*LOG(3.7*$I24/'Calculation Constants'!$B$2*1000)))^2</f>
        <v>8.4679866037394684E-3</v>
      </c>
      <c r="S24" s="19">
        <f t="shared" si="17"/>
        <v>0.45268811177167712</v>
      </c>
      <c r="T24" s="19">
        <f>IF($H24&gt;0,'Calculation Constants'!$B$9*Hydraulics!$K24^2/2/9.81/MAX($F$4:$F$253)*$H24,"")</f>
        <v>3.5282785359788842E-2</v>
      </c>
      <c r="U24" s="19">
        <f t="shared" si="18"/>
        <v>0.48797089713146596</v>
      </c>
      <c r="V24" s="19">
        <f t="shared" si="4"/>
        <v>0</v>
      </c>
      <c r="W24" s="19">
        <f t="shared" si="5"/>
        <v>214.97858205737225</v>
      </c>
      <c r="X24" s="23">
        <f t="shared" si="6"/>
        <v>1269.2585820573722</v>
      </c>
      <c r="Y24" s="22">
        <f>(1/(2*LOG(3.7*$I24/'Calculation Constants'!$B$3*1000)))^2</f>
        <v>9.4904462912918219E-3</v>
      </c>
      <c r="Z24" s="19">
        <f t="shared" si="7"/>
        <v>0.50734754464280807</v>
      </c>
      <c r="AA24" s="19">
        <f>IF($H24&gt;0,'Calculation Constants'!$B$9*Hydraulics!$K24^2/2/9.81/MAX($F$4:$F$253)*$H24,"")</f>
        <v>3.5282785359788842E-2</v>
      </c>
      <c r="AB24" s="19">
        <f t="shared" si="27"/>
        <v>0.54263033000259686</v>
      </c>
      <c r="AC24" s="19">
        <f t="shared" si="8"/>
        <v>0</v>
      </c>
      <c r="AD24" s="19">
        <f t="shared" si="20"/>
        <v>213.88539339994873</v>
      </c>
      <c r="AE24" s="23">
        <f t="shared" si="9"/>
        <v>1268.1653933999487</v>
      </c>
      <c r="AF24" s="27">
        <f>(1/(2*LOG(3.7*$I24/'Calculation Constants'!$B$4*1000)))^2</f>
        <v>1.1152845500629007E-2</v>
      </c>
      <c r="AG24" s="19">
        <f t="shared" si="10"/>
        <v>0.59621735446906032</v>
      </c>
      <c r="AH24" s="19">
        <f>IF($H24&gt;0,'Calculation Constants'!$B$9*Hydraulics!$K24^2/2/9.81/MAX($F$4:$F$253)*$H24,"")</f>
        <v>3.5282785359788842E-2</v>
      </c>
      <c r="AI24" s="19">
        <f t="shared" si="21"/>
        <v>0.63150013982884912</v>
      </c>
      <c r="AJ24" s="19">
        <f t="shared" si="11"/>
        <v>0</v>
      </c>
      <c r="AK24" s="19">
        <f t="shared" si="22"/>
        <v>212.10799720342288</v>
      </c>
      <c r="AL24" s="23">
        <f t="shared" si="12"/>
        <v>1266.3879972034229</v>
      </c>
      <c r="AM24" s="22">
        <f>(1/(2*LOG(3.7*($I24-0.008)/'Calculation Constants'!$B$5*1000)))^2</f>
        <v>1.4104604303736145E-2</v>
      </c>
      <c r="AN24" s="19">
        <f t="shared" si="23"/>
        <v>0.75676661531854661</v>
      </c>
      <c r="AO24" s="19">
        <f>IF($H24&gt;0,'Calculation Constants'!$B$9*Hydraulics!$K24^2/2/9.81/MAX($F$4:$F$253)*$H24,"")</f>
        <v>3.5282785359788842E-2</v>
      </c>
      <c r="AP24" s="19">
        <f t="shared" si="24"/>
        <v>0.7920494006783354</v>
      </c>
      <c r="AQ24" s="19">
        <f t="shared" si="13"/>
        <v>0</v>
      </c>
      <c r="AR24" s="19">
        <f t="shared" si="25"/>
        <v>208.89701198643502</v>
      </c>
      <c r="AS24" s="23">
        <f t="shared" si="14"/>
        <v>1263.177011986435</v>
      </c>
    </row>
    <row r="25" spans="1:45">
      <c r="E25" s="35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6"/>
        <v>2</v>
      </c>
      <c r="I25" s="19">
        <v>2.2000000000000002</v>
      </c>
      <c r="J25" s="36">
        <f>'Flow Rate Calculations'!$B$7</f>
        <v>4.0831050228310497</v>
      </c>
      <c r="K25" s="36">
        <f t="shared" si="15"/>
        <v>1.0741261942924094</v>
      </c>
      <c r="L25" s="37">
        <f>$I25*$K25/'Calculation Constants'!$B$7</f>
        <v>2091219.139330355</v>
      </c>
      <c r="M25" s="37" t="str">
        <f t="shared" si="1"/>
        <v>Greater Dynamic Pressures</v>
      </c>
      <c r="N25" s="23">
        <f t="shared" si="16"/>
        <v>214.89961116024074</v>
      </c>
      <c r="O25" s="56">
        <f t="shared" si="2"/>
        <v>213.75176306994604</v>
      </c>
      <c r="P25" s="65">
        <f>MAX(I25*1000/'Calculation Constants'!$B$14,O25*10*I25*1000/2/('Calculation Constants'!$B$12*1000*'Calculation Constants'!$B$13))</f>
        <v>15.675129291796045</v>
      </c>
      <c r="Q25" s="67">
        <f t="shared" si="3"/>
        <v>1688798.7056698357</v>
      </c>
      <c r="R25" s="27">
        <f>(1/(2*LOG(3.7*$I25/'Calculation Constants'!$B$2*1000)))^2</f>
        <v>8.4679866037394684E-3</v>
      </c>
      <c r="S25" s="19">
        <f t="shared" si="17"/>
        <v>0.45268811177167712</v>
      </c>
      <c r="T25" s="19">
        <f>IF($H25&gt;0,'Calculation Constants'!$B$9*Hydraulics!$K25^2/2/9.81/MAX($F$4:$F$253)*$H25,"")</f>
        <v>3.5282785359788842E-2</v>
      </c>
      <c r="U25" s="19">
        <f t="shared" si="18"/>
        <v>0.48797089713146596</v>
      </c>
      <c r="V25" s="19">
        <f t="shared" si="4"/>
        <v>0</v>
      </c>
      <c r="W25" s="19">
        <f t="shared" si="5"/>
        <v>214.89961116024074</v>
      </c>
      <c r="X25" s="23">
        <f t="shared" si="6"/>
        <v>1268.7706111602408</v>
      </c>
      <c r="Y25" s="22">
        <f>(1/(2*LOG(3.7*$I25/'Calculation Constants'!$B$3*1000)))^2</f>
        <v>9.4904462912918219E-3</v>
      </c>
      <c r="Z25" s="19">
        <f t="shared" si="7"/>
        <v>0.50734754464280807</v>
      </c>
      <c r="AA25" s="19">
        <f>IF($H25&gt;0,'Calculation Constants'!$B$9*Hydraulics!$K25^2/2/9.81/MAX($F$4:$F$253)*$H25,"")</f>
        <v>3.5282785359788842E-2</v>
      </c>
      <c r="AB25" s="19">
        <f t="shared" si="27"/>
        <v>0.54263033000259686</v>
      </c>
      <c r="AC25" s="19">
        <f t="shared" si="8"/>
        <v>0</v>
      </c>
      <c r="AD25" s="19">
        <f t="shared" si="20"/>
        <v>213.75176306994604</v>
      </c>
      <c r="AE25" s="23">
        <f t="shared" si="9"/>
        <v>1267.6227630699461</v>
      </c>
      <c r="AF25" s="27">
        <f>(1/(2*LOG(3.7*$I25/'Calculation Constants'!$B$4*1000)))^2</f>
        <v>1.1152845500629007E-2</v>
      </c>
      <c r="AG25" s="19">
        <f t="shared" si="10"/>
        <v>0.59621735446906032</v>
      </c>
      <c r="AH25" s="19">
        <f>IF($H25&gt;0,'Calculation Constants'!$B$9*Hydraulics!$K25^2/2/9.81/MAX($F$4:$F$253)*$H25,"")</f>
        <v>3.5282785359788842E-2</v>
      </c>
      <c r="AI25" s="19">
        <f t="shared" si="21"/>
        <v>0.63150013982884912</v>
      </c>
      <c r="AJ25" s="19">
        <f t="shared" si="11"/>
        <v>0</v>
      </c>
      <c r="AK25" s="19">
        <f t="shared" si="22"/>
        <v>211.8854970635939</v>
      </c>
      <c r="AL25" s="23">
        <f t="shared" si="12"/>
        <v>1265.756497063594</v>
      </c>
      <c r="AM25" s="22">
        <f>(1/(2*LOG(3.7*($I25-0.008)/'Calculation Constants'!$B$5*1000)))^2</f>
        <v>1.4104604303736145E-2</v>
      </c>
      <c r="AN25" s="19">
        <f t="shared" si="23"/>
        <v>0.75676661531854661</v>
      </c>
      <c r="AO25" s="19">
        <f>IF($H25&gt;0,'Calculation Constants'!$B$9*Hydraulics!$K25^2/2/9.81/MAX($F$4:$F$253)*$H25,"")</f>
        <v>3.5282785359788842E-2</v>
      </c>
      <c r="AP25" s="19">
        <f t="shared" si="24"/>
        <v>0.7920494006783354</v>
      </c>
      <c r="AQ25" s="19">
        <f t="shared" si="13"/>
        <v>0</v>
      </c>
      <c r="AR25" s="19">
        <f t="shared" si="25"/>
        <v>208.51396258575664</v>
      </c>
      <c r="AS25" s="23">
        <f t="shared" si="14"/>
        <v>1262.3849625857567</v>
      </c>
    </row>
    <row r="26" spans="1:45">
      <c r="E26" s="35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6"/>
        <v>2</v>
      </c>
      <c r="I26" s="19">
        <v>2.2000000000000002</v>
      </c>
      <c r="J26" s="36">
        <f>'Flow Rate Calculations'!$B$7</f>
        <v>4.0831050228310497</v>
      </c>
      <c r="K26" s="36">
        <f t="shared" si="15"/>
        <v>1.0741261942924094</v>
      </c>
      <c r="L26" s="37">
        <f>$I26*$K26/'Calculation Constants'!$B$7</f>
        <v>2091219.139330355</v>
      </c>
      <c r="M26" s="37" t="str">
        <f t="shared" si="1"/>
        <v>Greater Dynamic Pressures</v>
      </c>
      <c r="N26" s="23">
        <f t="shared" si="16"/>
        <v>217.86264026310937</v>
      </c>
      <c r="O26" s="56">
        <f t="shared" si="2"/>
        <v>216.66013273994349</v>
      </c>
      <c r="P26" s="65">
        <f>MAX(I26*1000/'Calculation Constants'!$B$14,O26*10*I26*1000/2/('Calculation Constants'!$B$12*1000*'Calculation Constants'!$B$13))</f>
        <v>15.888409734262522</v>
      </c>
      <c r="Q26" s="67">
        <f t="shared" si="3"/>
        <v>1711609.8598140005</v>
      </c>
      <c r="R26" s="27">
        <f>(1/(2*LOG(3.7*$I26/'Calculation Constants'!$B$2*1000)))^2</f>
        <v>8.4679866037394684E-3</v>
      </c>
      <c r="S26" s="19">
        <f t="shared" si="17"/>
        <v>0.45268811177167712</v>
      </c>
      <c r="T26" s="19">
        <f>IF($H26&gt;0,'Calculation Constants'!$B$9*Hydraulics!$K26^2/2/9.81/MAX($F$4:$F$253)*$H26,"")</f>
        <v>3.5282785359788842E-2</v>
      </c>
      <c r="U26" s="19">
        <f t="shared" si="18"/>
        <v>0.48797089713146596</v>
      </c>
      <c r="V26" s="19">
        <f t="shared" si="4"/>
        <v>0</v>
      </c>
      <c r="W26" s="19">
        <f t="shared" si="5"/>
        <v>217.86264026310937</v>
      </c>
      <c r="X26" s="23">
        <f t="shared" si="6"/>
        <v>1268.2826402631094</v>
      </c>
      <c r="Y26" s="22">
        <f>(1/(2*LOG(3.7*$I26/'Calculation Constants'!$B$3*1000)))^2</f>
        <v>9.4904462912918219E-3</v>
      </c>
      <c r="Z26" s="19">
        <f t="shared" si="7"/>
        <v>0.50734754464280807</v>
      </c>
      <c r="AA26" s="19">
        <f>IF($H26&gt;0,'Calculation Constants'!$B$9*Hydraulics!$K26^2/2/9.81/MAX($F$4:$F$253)*$H26,"")</f>
        <v>3.5282785359788842E-2</v>
      </c>
      <c r="AB26" s="19">
        <f t="shared" si="27"/>
        <v>0.54263033000259686</v>
      </c>
      <c r="AC26" s="19">
        <f t="shared" si="8"/>
        <v>0</v>
      </c>
      <c r="AD26" s="19">
        <f t="shared" si="20"/>
        <v>216.66013273994349</v>
      </c>
      <c r="AE26" s="23">
        <f t="shared" si="9"/>
        <v>1267.0801327399436</v>
      </c>
      <c r="AF26" s="27">
        <f>(1/(2*LOG(3.7*$I26/'Calculation Constants'!$B$4*1000)))^2</f>
        <v>1.1152845500629007E-2</v>
      </c>
      <c r="AG26" s="19">
        <f t="shared" si="10"/>
        <v>0.59621735446906032</v>
      </c>
      <c r="AH26" s="19">
        <f>IF($H26&gt;0,'Calculation Constants'!$B$9*Hydraulics!$K26^2/2/9.81/MAX($F$4:$F$253)*$H26,"")</f>
        <v>3.5282785359788842E-2</v>
      </c>
      <c r="AI26" s="19">
        <f t="shared" si="21"/>
        <v>0.63150013982884912</v>
      </c>
      <c r="AJ26" s="19">
        <f t="shared" si="11"/>
        <v>0</v>
      </c>
      <c r="AK26" s="19">
        <f t="shared" si="22"/>
        <v>214.70499692376507</v>
      </c>
      <c r="AL26" s="23">
        <f t="shared" si="12"/>
        <v>1265.1249969237651</v>
      </c>
      <c r="AM26" s="22">
        <f>(1/(2*LOG(3.7*($I26-0.008)/'Calculation Constants'!$B$5*1000)))^2</f>
        <v>1.4104604303736145E-2</v>
      </c>
      <c r="AN26" s="19">
        <f t="shared" si="23"/>
        <v>0.75676661531854661</v>
      </c>
      <c r="AO26" s="19">
        <f>IF($H26&gt;0,'Calculation Constants'!$B$9*Hydraulics!$K26^2/2/9.81/MAX($F$4:$F$253)*$H26,"")</f>
        <v>3.5282785359788842E-2</v>
      </c>
      <c r="AP26" s="19">
        <f t="shared" si="24"/>
        <v>0.7920494006783354</v>
      </c>
      <c r="AQ26" s="19">
        <f t="shared" si="13"/>
        <v>0</v>
      </c>
      <c r="AR26" s="19">
        <f t="shared" si="25"/>
        <v>211.17291318507841</v>
      </c>
      <c r="AS26" s="23">
        <f t="shared" si="14"/>
        <v>1261.5929131850785</v>
      </c>
    </row>
    <row r="27" spans="1:45">
      <c r="E27" s="35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6"/>
        <v>2</v>
      </c>
      <c r="I27" s="19">
        <v>2.2000000000000002</v>
      </c>
      <c r="J27" s="36">
        <f>'Flow Rate Calculations'!$B$7</f>
        <v>4.0831050228310497</v>
      </c>
      <c r="K27" s="36">
        <f t="shared" si="15"/>
        <v>1.0741261942924094</v>
      </c>
      <c r="L27" s="37">
        <f>$I27*$K27/'Calculation Constants'!$B$7</f>
        <v>2091219.139330355</v>
      </c>
      <c r="M27" s="37" t="str">
        <f t="shared" si="1"/>
        <v>Greater Dynamic Pressures</v>
      </c>
      <c r="N27" s="23">
        <f t="shared" si="16"/>
        <v>215.0906693659781</v>
      </c>
      <c r="O27" s="56">
        <f t="shared" si="2"/>
        <v>213.83350240994105</v>
      </c>
      <c r="P27" s="65">
        <f>MAX(I27*1000/'Calculation Constants'!$B$14,O27*10*I27*1000/2/('Calculation Constants'!$B$12*1000*'Calculation Constants'!$B$13))</f>
        <v>15.681123510062344</v>
      </c>
      <c r="Q27" s="67">
        <f t="shared" si="3"/>
        <v>1689439.8713862509</v>
      </c>
      <c r="R27" s="27">
        <f>(1/(2*LOG(3.7*$I27/'Calculation Constants'!$B$2*1000)))^2</f>
        <v>8.4679866037394684E-3</v>
      </c>
      <c r="S27" s="19">
        <f t="shared" si="17"/>
        <v>0.45268811177167712</v>
      </c>
      <c r="T27" s="19">
        <f>IF($H27&gt;0,'Calculation Constants'!$B$9*Hydraulics!$K27^2/2/9.81/MAX($F$4:$F$253)*$H27,"")</f>
        <v>3.5282785359788842E-2</v>
      </c>
      <c r="U27" s="19">
        <f t="shared" si="18"/>
        <v>0.48797089713146596</v>
      </c>
      <c r="V27" s="19">
        <f t="shared" si="4"/>
        <v>0</v>
      </c>
      <c r="W27" s="19">
        <f t="shared" si="5"/>
        <v>215.0906693659781</v>
      </c>
      <c r="X27" s="23">
        <f t="shared" si="6"/>
        <v>1267.7946693659781</v>
      </c>
      <c r="Y27" s="22">
        <f>(1/(2*LOG(3.7*$I27/'Calculation Constants'!$B$3*1000)))^2</f>
        <v>9.4904462912918219E-3</v>
      </c>
      <c r="Z27" s="19">
        <f t="shared" si="7"/>
        <v>0.50734754464280807</v>
      </c>
      <c r="AA27" s="19">
        <f>IF($H27&gt;0,'Calculation Constants'!$B$9*Hydraulics!$K27^2/2/9.81/MAX($F$4:$F$253)*$H27,"")</f>
        <v>3.5282785359788842E-2</v>
      </c>
      <c r="AB27" s="19">
        <f t="shared" si="27"/>
        <v>0.54263033000259686</v>
      </c>
      <c r="AC27" s="19">
        <f t="shared" si="8"/>
        <v>0</v>
      </c>
      <c r="AD27" s="19">
        <f t="shared" si="20"/>
        <v>213.83350240994105</v>
      </c>
      <c r="AE27" s="23">
        <f t="shared" si="9"/>
        <v>1266.537502409941</v>
      </c>
      <c r="AF27" s="27">
        <f>(1/(2*LOG(3.7*$I27/'Calculation Constants'!$B$4*1000)))^2</f>
        <v>1.1152845500629007E-2</v>
      </c>
      <c r="AG27" s="19">
        <f t="shared" si="10"/>
        <v>0.59621735446906032</v>
      </c>
      <c r="AH27" s="19">
        <f>IF($H27&gt;0,'Calculation Constants'!$B$9*Hydraulics!$K27^2/2/9.81/MAX($F$4:$F$253)*$H27,"")</f>
        <v>3.5282785359788842E-2</v>
      </c>
      <c r="AI27" s="19">
        <f t="shared" si="21"/>
        <v>0.63150013982884912</v>
      </c>
      <c r="AJ27" s="19">
        <f t="shared" si="11"/>
        <v>0</v>
      </c>
      <c r="AK27" s="19">
        <f t="shared" si="22"/>
        <v>211.78949678393633</v>
      </c>
      <c r="AL27" s="23">
        <f t="shared" si="12"/>
        <v>1264.4934967839363</v>
      </c>
      <c r="AM27" s="22">
        <f>(1/(2*LOG(3.7*($I27-0.008)/'Calculation Constants'!$B$5*1000)))^2</f>
        <v>1.4104604303736145E-2</v>
      </c>
      <c r="AN27" s="19">
        <f t="shared" si="23"/>
        <v>0.75676661531854661</v>
      </c>
      <c r="AO27" s="19">
        <f>IF($H27&gt;0,'Calculation Constants'!$B$9*Hydraulics!$K27^2/2/9.81/MAX($F$4:$F$253)*$H27,"")</f>
        <v>3.5282785359788842E-2</v>
      </c>
      <c r="AP27" s="19">
        <f t="shared" si="24"/>
        <v>0.7920494006783354</v>
      </c>
      <c r="AQ27" s="19">
        <f t="shared" si="13"/>
        <v>0</v>
      </c>
      <c r="AR27" s="19">
        <f t="shared" si="25"/>
        <v>208.09686378440028</v>
      </c>
      <c r="AS27" s="23">
        <f t="shared" si="14"/>
        <v>1260.8008637844002</v>
      </c>
    </row>
    <row r="28" spans="1:45" ht="18.75">
      <c r="A28" s="54"/>
      <c r="E28" s="35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6"/>
        <v>2</v>
      </c>
      <c r="I28" s="19">
        <v>2.2000000000000002</v>
      </c>
      <c r="J28" s="36">
        <f>'Flow Rate Calculations'!$B$7</f>
        <v>4.0831050228310497</v>
      </c>
      <c r="K28" s="36">
        <f t="shared" si="15"/>
        <v>1.0741261942924094</v>
      </c>
      <c r="L28" s="37">
        <f>$I28*$K28/'Calculation Constants'!$B$7</f>
        <v>2091219.139330355</v>
      </c>
      <c r="M28" s="37" t="str">
        <f t="shared" si="1"/>
        <v>Greater Dynamic Pressures</v>
      </c>
      <c r="N28" s="23">
        <f t="shared" si="16"/>
        <v>210.95169846884664</v>
      </c>
      <c r="O28" s="56">
        <f t="shared" si="2"/>
        <v>209.63987207993841</v>
      </c>
      <c r="P28" s="65">
        <f>MAX(I28*1000/'Calculation Constants'!$B$14,O28*10*I28*1000/2/('Calculation Constants'!$B$12*1000*'Calculation Constants'!$B$13))</f>
        <v>15.373590619195483</v>
      </c>
      <c r="Q28" s="67">
        <f t="shared" si="3"/>
        <v>1656540.3414856018</v>
      </c>
      <c r="R28" s="27">
        <f>(1/(2*LOG(3.7*$I28/'Calculation Constants'!$B$2*1000)))^2</f>
        <v>8.4679866037394684E-3</v>
      </c>
      <c r="S28" s="19">
        <f t="shared" si="17"/>
        <v>0.45268811177167712</v>
      </c>
      <c r="T28" s="19">
        <f>IF($H28&gt;0,'Calculation Constants'!$B$9*Hydraulics!$K28^2/2/9.81/MAX($F$4:$F$253)*$H28,"")</f>
        <v>3.5282785359788842E-2</v>
      </c>
      <c r="U28" s="19">
        <f t="shared" si="18"/>
        <v>0.48797089713146596</v>
      </c>
      <c r="V28" s="19">
        <f t="shared" si="4"/>
        <v>0</v>
      </c>
      <c r="W28" s="19">
        <f t="shared" si="5"/>
        <v>210.95169846884664</v>
      </c>
      <c r="X28" s="23">
        <f t="shared" si="6"/>
        <v>1267.3066984688467</v>
      </c>
      <c r="Y28" s="22">
        <f>(1/(2*LOG(3.7*$I28/'Calculation Constants'!$B$3*1000)))^2</f>
        <v>9.4904462912918219E-3</v>
      </c>
      <c r="Z28" s="19">
        <f t="shared" si="7"/>
        <v>0.50734754464280807</v>
      </c>
      <c r="AA28" s="19">
        <f>IF($H28&gt;0,'Calculation Constants'!$B$9*Hydraulics!$K28^2/2/9.81/MAX($F$4:$F$253)*$H28,"")</f>
        <v>3.5282785359788842E-2</v>
      </c>
      <c r="AB28" s="19">
        <f t="shared" si="27"/>
        <v>0.54263033000259686</v>
      </c>
      <c r="AC28" s="19">
        <f t="shared" si="8"/>
        <v>0</v>
      </c>
      <c r="AD28" s="19">
        <f t="shared" si="20"/>
        <v>209.63987207993841</v>
      </c>
      <c r="AE28" s="23">
        <f t="shared" si="9"/>
        <v>1265.9948720799384</v>
      </c>
      <c r="AF28" s="27">
        <f>(1/(2*LOG(3.7*$I28/'Calculation Constants'!$B$4*1000)))^2</f>
        <v>1.1152845500629007E-2</v>
      </c>
      <c r="AG28" s="19">
        <f t="shared" si="10"/>
        <v>0.59621735446906032</v>
      </c>
      <c r="AH28" s="19">
        <f>IF($H28&gt;0,'Calculation Constants'!$B$9*Hydraulics!$K28^2/2/9.81/MAX($F$4:$F$253)*$H28,"")</f>
        <v>3.5282785359788842E-2</v>
      </c>
      <c r="AI28" s="19">
        <f t="shared" si="21"/>
        <v>0.63150013982884912</v>
      </c>
      <c r="AJ28" s="19">
        <f t="shared" si="11"/>
        <v>0</v>
      </c>
      <c r="AK28" s="19">
        <f t="shared" si="22"/>
        <v>207.5069966441074</v>
      </c>
      <c r="AL28" s="23">
        <f t="shared" si="12"/>
        <v>1263.8619966441074</v>
      </c>
      <c r="AM28" s="22">
        <f>(1/(2*LOG(3.7*($I28-0.008)/'Calculation Constants'!$B$5*1000)))^2</f>
        <v>1.4104604303736145E-2</v>
      </c>
      <c r="AN28" s="19">
        <f t="shared" si="23"/>
        <v>0.75676661531854661</v>
      </c>
      <c r="AO28" s="19">
        <f>IF($H28&gt;0,'Calculation Constants'!$B$9*Hydraulics!$K28^2/2/9.81/MAX($F$4:$F$253)*$H28,"")</f>
        <v>3.5282785359788842E-2</v>
      </c>
      <c r="AP28" s="19">
        <f t="shared" si="24"/>
        <v>0.7920494006783354</v>
      </c>
      <c r="AQ28" s="19">
        <f t="shared" si="13"/>
        <v>0</v>
      </c>
      <c r="AR28" s="19">
        <f t="shared" si="25"/>
        <v>203.65381438372196</v>
      </c>
      <c r="AS28" s="23">
        <f t="shared" si="14"/>
        <v>1260.008814383722</v>
      </c>
    </row>
    <row r="29" spans="1:45" ht="18.75">
      <c r="A29" s="54"/>
      <c r="E29" s="35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6"/>
        <v>2</v>
      </c>
      <c r="I29" s="19">
        <v>2.2000000000000002</v>
      </c>
      <c r="J29" s="36">
        <f>'Flow Rate Calculations'!$B$7</f>
        <v>4.0831050228310497</v>
      </c>
      <c r="K29" s="36">
        <f t="shared" si="15"/>
        <v>1.0741261942924094</v>
      </c>
      <c r="L29" s="37">
        <f>$I29*$K29/'Calculation Constants'!$B$7</f>
        <v>2091219.139330355</v>
      </c>
      <c r="M29" s="37" t="str">
        <f t="shared" si="1"/>
        <v>Greater Dynamic Pressures</v>
      </c>
      <c r="N29" s="23">
        <f t="shared" si="16"/>
        <v>208.35272757171538</v>
      </c>
      <c r="O29" s="56">
        <f t="shared" si="2"/>
        <v>206.98624174993597</v>
      </c>
      <c r="P29" s="65">
        <f>MAX(I29*1000/'Calculation Constants'!$B$14,O29*10*I29*1000/2/('Calculation Constants'!$B$12*1000*'Calculation Constants'!$B$13))</f>
        <v>15.178991061661973</v>
      </c>
      <c r="Q29" s="67">
        <f t="shared" si="3"/>
        <v>1635717.47559757</v>
      </c>
      <c r="R29" s="27">
        <f>(1/(2*LOG(3.7*$I29/'Calculation Constants'!$B$2*1000)))^2</f>
        <v>8.4679866037394684E-3</v>
      </c>
      <c r="S29" s="19">
        <f t="shared" si="17"/>
        <v>0.45268811177167712</v>
      </c>
      <c r="T29" s="19">
        <f>IF($H29&gt;0,'Calculation Constants'!$B$9*Hydraulics!$K29^2/2/9.81/MAX($F$4:$F$253)*$H29,"")</f>
        <v>3.5282785359788842E-2</v>
      </c>
      <c r="U29" s="19">
        <f t="shared" si="18"/>
        <v>0.48797089713146596</v>
      </c>
      <c r="V29" s="19">
        <f t="shared" si="4"/>
        <v>0</v>
      </c>
      <c r="W29" s="19">
        <f t="shared" si="5"/>
        <v>208.35272757171538</v>
      </c>
      <c r="X29" s="23">
        <f t="shared" si="6"/>
        <v>1266.8187275717153</v>
      </c>
      <c r="Y29" s="22">
        <f>(1/(2*LOG(3.7*$I29/'Calculation Constants'!$B$3*1000)))^2</f>
        <v>9.4904462912918219E-3</v>
      </c>
      <c r="Z29" s="19">
        <f t="shared" si="7"/>
        <v>0.50734754464280807</v>
      </c>
      <c r="AA29" s="19">
        <f>IF($H29&gt;0,'Calculation Constants'!$B$9*Hydraulics!$K29^2/2/9.81/MAX($F$4:$F$253)*$H29,"")</f>
        <v>3.5282785359788842E-2</v>
      </c>
      <c r="AB29" s="19">
        <f t="shared" si="27"/>
        <v>0.54263033000259686</v>
      </c>
      <c r="AC29" s="19">
        <f t="shared" si="8"/>
        <v>0</v>
      </c>
      <c r="AD29" s="19">
        <f t="shared" si="20"/>
        <v>206.98624174993597</v>
      </c>
      <c r="AE29" s="23">
        <f t="shared" si="9"/>
        <v>1265.4522417499359</v>
      </c>
      <c r="AF29" s="27">
        <f>(1/(2*LOG(3.7*$I29/'Calculation Constants'!$B$4*1000)))^2</f>
        <v>1.1152845500629007E-2</v>
      </c>
      <c r="AG29" s="19">
        <f t="shared" si="10"/>
        <v>0.59621735446906032</v>
      </c>
      <c r="AH29" s="19">
        <f>IF($H29&gt;0,'Calculation Constants'!$B$9*Hydraulics!$K29^2/2/9.81/MAX($F$4:$F$253)*$H29,"")</f>
        <v>3.5282785359788842E-2</v>
      </c>
      <c r="AI29" s="19">
        <f t="shared" si="21"/>
        <v>0.63150013982884912</v>
      </c>
      <c r="AJ29" s="19">
        <f t="shared" si="11"/>
        <v>0</v>
      </c>
      <c r="AK29" s="19">
        <f t="shared" si="22"/>
        <v>204.76449650427867</v>
      </c>
      <c r="AL29" s="23">
        <f t="shared" si="12"/>
        <v>1263.2304965042786</v>
      </c>
      <c r="AM29" s="22">
        <f>(1/(2*LOG(3.7*($I29-0.008)/'Calculation Constants'!$B$5*1000)))^2</f>
        <v>1.4104604303736145E-2</v>
      </c>
      <c r="AN29" s="19">
        <f t="shared" si="23"/>
        <v>0.75676661531854661</v>
      </c>
      <c r="AO29" s="19">
        <f>IF($H29&gt;0,'Calculation Constants'!$B$9*Hydraulics!$K29^2/2/9.81/MAX($F$4:$F$253)*$H29,"")</f>
        <v>3.5282785359788842E-2</v>
      </c>
      <c r="AP29" s="19">
        <f t="shared" si="24"/>
        <v>0.7920494006783354</v>
      </c>
      <c r="AQ29" s="19">
        <f t="shared" si="13"/>
        <v>0</v>
      </c>
      <c r="AR29" s="19">
        <f t="shared" si="25"/>
        <v>200.75076498304384</v>
      </c>
      <c r="AS29" s="23">
        <f t="shared" si="14"/>
        <v>1259.2167649830437</v>
      </c>
    </row>
    <row r="30" spans="1:45" ht="18.75">
      <c r="A30" s="54"/>
      <c r="E30" s="35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6"/>
        <v>2</v>
      </c>
      <c r="I30" s="19">
        <v>2.2000000000000002</v>
      </c>
      <c r="J30" s="36">
        <f>'Flow Rate Calculations'!$B$7</f>
        <v>4.0831050228310497</v>
      </c>
      <c r="K30" s="36">
        <f t="shared" si="15"/>
        <v>1.0741261942924094</v>
      </c>
      <c r="L30" s="37">
        <f>$I30*$K30/'Calculation Constants'!$B$7</f>
        <v>2091219.139330355</v>
      </c>
      <c r="M30" s="37" t="str">
        <f t="shared" si="1"/>
        <v>Greater Dynamic Pressures</v>
      </c>
      <c r="N30" s="23">
        <f t="shared" si="16"/>
        <v>210.34075667458387</v>
      </c>
      <c r="O30" s="56">
        <f t="shared" si="2"/>
        <v>208.91961141993329</v>
      </c>
      <c r="P30" s="65">
        <f>MAX(I30*1000/'Calculation Constants'!$B$14,O30*10*I30*1000/2/('Calculation Constants'!$B$12*1000*'Calculation Constants'!$B$13))</f>
        <v>15.320771504128443</v>
      </c>
      <c r="Q30" s="67">
        <f t="shared" si="3"/>
        <v>1650888.8719507498</v>
      </c>
      <c r="R30" s="27">
        <f>(1/(2*LOG(3.7*$I30/'Calculation Constants'!$B$2*1000)))^2</f>
        <v>8.4679866037394684E-3</v>
      </c>
      <c r="S30" s="19">
        <f t="shared" si="17"/>
        <v>0.45268811177167712</v>
      </c>
      <c r="T30" s="19">
        <f>IF($H30&gt;0,'Calculation Constants'!$B$9*Hydraulics!$K30^2/2/9.81/MAX($F$4:$F$253)*$H30,"")</f>
        <v>3.5282785359788842E-2</v>
      </c>
      <c r="U30" s="19">
        <f t="shared" si="18"/>
        <v>0.48797089713146596</v>
      </c>
      <c r="V30" s="19">
        <f t="shared" si="4"/>
        <v>0</v>
      </c>
      <c r="W30" s="19">
        <f t="shared" si="5"/>
        <v>210.34075667458387</v>
      </c>
      <c r="X30" s="23">
        <f t="shared" si="6"/>
        <v>1266.3307566745839</v>
      </c>
      <c r="Y30" s="22">
        <f>(1/(2*LOG(3.7*$I30/'Calculation Constants'!$B$3*1000)))^2</f>
        <v>9.4904462912918219E-3</v>
      </c>
      <c r="Z30" s="19">
        <f t="shared" si="7"/>
        <v>0.50734754464280807</v>
      </c>
      <c r="AA30" s="19">
        <f>IF($H30&gt;0,'Calculation Constants'!$B$9*Hydraulics!$K30^2/2/9.81/MAX($F$4:$F$253)*$H30,"")</f>
        <v>3.5282785359788842E-2</v>
      </c>
      <c r="AB30" s="19">
        <f t="shared" si="27"/>
        <v>0.54263033000259686</v>
      </c>
      <c r="AC30" s="19">
        <f t="shared" si="8"/>
        <v>0</v>
      </c>
      <c r="AD30" s="19">
        <f t="shared" si="20"/>
        <v>208.91961141993329</v>
      </c>
      <c r="AE30" s="23">
        <f t="shared" si="9"/>
        <v>1264.9096114199333</v>
      </c>
      <c r="AF30" s="27">
        <f>(1/(2*LOG(3.7*$I30/'Calculation Constants'!$B$4*1000)))^2</f>
        <v>1.1152845500629007E-2</v>
      </c>
      <c r="AG30" s="19">
        <f t="shared" si="10"/>
        <v>0.59621735446906032</v>
      </c>
      <c r="AH30" s="19">
        <f>IF($H30&gt;0,'Calculation Constants'!$B$9*Hydraulics!$K30^2/2/9.81/MAX($F$4:$F$253)*$H30,"")</f>
        <v>3.5282785359788842E-2</v>
      </c>
      <c r="AI30" s="19">
        <f t="shared" si="21"/>
        <v>0.63150013982884912</v>
      </c>
      <c r="AJ30" s="19">
        <f t="shared" si="11"/>
        <v>0</v>
      </c>
      <c r="AK30" s="19">
        <f t="shared" si="22"/>
        <v>206.60899636444969</v>
      </c>
      <c r="AL30" s="23">
        <f t="shared" si="12"/>
        <v>1262.5989963644497</v>
      </c>
      <c r="AM30" s="22">
        <f>(1/(2*LOG(3.7*($I30-0.008)/'Calculation Constants'!$B$5*1000)))^2</f>
        <v>1.4104604303736145E-2</v>
      </c>
      <c r="AN30" s="19">
        <f t="shared" si="23"/>
        <v>0.75676661531854661</v>
      </c>
      <c r="AO30" s="19">
        <f>IF($H30&gt;0,'Calculation Constants'!$B$9*Hydraulics!$K30^2/2/9.81/MAX($F$4:$F$253)*$H30,"")</f>
        <v>3.5282785359788842E-2</v>
      </c>
      <c r="AP30" s="19">
        <f t="shared" si="24"/>
        <v>0.7920494006783354</v>
      </c>
      <c r="AQ30" s="19">
        <f t="shared" si="13"/>
        <v>0</v>
      </c>
      <c r="AR30" s="19">
        <f t="shared" si="25"/>
        <v>202.43471558236547</v>
      </c>
      <c r="AS30" s="23">
        <f t="shared" si="14"/>
        <v>1258.4247155823655</v>
      </c>
    </row>
    <row r="31" spans="1:45">
      <c r="E31" s="35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6"/>
        <v>2</v>
      </c>
      <c r="I31" s="19">
        <v>2.2000000000000002</v>
      </c>
      <c r="J31" s="36">
        <f>'Flow Rate Calculations'!$B$7</f>
        <v>4.0831050228310497</v>
      </c>
      <c r="K31" s="36">
        <f t="shared" si="15"/>
        <v>1.0741261942924094</v>
      </c>
      <c r="L31" s="37">
        <f>$I31*$K31/'Calculation Constants'!$B$7</f>
        <v>2091219.139330355</v>
      </c>
      <c r="M31" s="37" t="str">
        <f t="shared" si="1"/>
        <v>Greater Dynamic Pressures</v>
      </c>
      <c r="N31" s="23">
        <f t="shared" si="16"/>
        <v>210.18278577745241</v>
      </c>
      <c r="O31" s="56">
        <f t="shared" si="2"/>
        <v>208.70698108993065</v>
      </c>
      <c r="P31" s="65">
        <f>MAX(I31*1000/'Calculation Constants'!$B$14,O31*10*I31*1000/2/('Calculation Constants'!$B$12*1000*'Calculation Constants'!$B$13))</f>
        <v>15.30517861326158</v>
      </c>
      <c r="Q31" s="67">
        <f t="shared" si="3"/>
        <v>1649220.4319049011</v>
      </c>
      <c r="R31" s="27">
        <f>(1/(2*LOG(3.7*$I31/'Calculation Constants'!$B$2*1000)))^2</f>
        <v>8.4679866037394684E-3</v>
      </c>
      <c r="S31" s="19">
        <f t="shared" si="17"/>
        <v>0.45268811177167712</v>
      </c>
      <c r="T31" s="19">
        <f>IF($H31&gt;0,'Calculation Constants'!$B$9*Hydraulics!$K31^2/2/9.81/MAX($F$4:$F$253)*$H31,"")</f>
        <v>3.5282785359788842E-2</v>
      </c>
      <c r="U31" s="19">
        <f t="shared" si="18"/>
        <v>0.48797089713146596</v>
      </c>
      <c r="V31" s="19">
        <f t="shared" si="4"/>
        <v>0</v>
      </c>
      <c r="W31" s="19">
        <f t="shared" si="5"/>
        <v>210.18278577745241</v>
      </c>
      <c r="X31" s="23">
        <f t="shared" si="6"/>
        <v>1265.8427857774525</v>
      </c>
      <c r="Y31" s="22">
        <f>(1/(2*LOG(3.7*$I31/'Calculation Constants'!$B$3*1000)))^2</f>
        <v>9.4904462912918219E-3</v>
      </c>
      <c r="Z31" s="19">
        <f t="shared" si="7"/>
        <v>0.50734754464280807</v>
      </c>
      <c r="AA31" s="19">
        <f>IF($H31&gt;0,'Calculation Constants'!$B$9*Hydraulics!$K31^2/2/9.81/MAX($F$4:$F$253)*$H31,"")</f>
        <v>3.5282785359788842E-2</v>
      </c>
      <c r="AB31" s="19">
        <f t="shared" si="27"/>
        <v>0.54263033000259686</v>
      </c>
      <c r="AC31" s="19">
        <f t="shared" si="8"/>
        <v>0</v>
      </c>
      <c r="AD31" s="19">
        <f t="shared" si="20"/>
        <v>208.70698108993065</v>
      </c>
      <c r="AE31" s="23">
        <f t="shared" si="9"/>
        <v>1264.3669810899307</v>
      </c>
      <c r="AF31" s="27">
        <f>(1/(2*LOG(3.7*$I31/'Calculation Constants'!$B$4*1000)))^2</f>
        <v>1.1152845500629007E-2</v>
      </c>
      <c r="AG31" s="19">
        <f t="shared" si="10"/>
        <v>0.59621735446906032</v>
      </c>
      <c r="AH31" s="19">
        <f>IF($H31&gt;0,'Calculation Constants'!$B$9*Hydraulics!$K31^2/2/9.81/MAX($F$4:$F$253)*$H31,"")</f>
        <v>3.5282785359788842E-2</v>
      </c>
      <c r="AI31" s="19">
        <f t="shared" si="21"/>
        <v>0.63150013982884912</v>
      </c>
      <c r="AJ31" s="19">
        <f t="shared" si="11"/>
        <v>0</v>
      </c>
      <c r="AK31" s="19">
        <f t="shared" si="22"/>
        <v>206.30749622462076</v>
      </c>
      <c r="AL31" s="23">
        <f t="shared" si="12"/>
        <v>1261.9674962246208</v>
      </c>
      <c r="AM31" s="22">
        <f>(1/(2*LOG(3.7*($I31-0.008)/'Calculation Constants'!$B$5*1000)))^2</f>
        <v>1.4104604303736145E-2</v>
      </c>
      <c r="AN31" s="19">
        <f t="shared" si="23"/>
        <v>0.75676661531854661</v>
      </c>
      <c r="AO31" s="19">
        <f>IF($H31&gt;0,'Calculation Constants'!$B$9*Hydraulics!$K31^2/2/9.81/MAX($F$4:$F$253)*$H31,"")</f>
        <v>3.5282785359788842E-2</v>
      </c>
      <c r="AP31" s="19">
        <f t="shared" si="24"/>
        <v>0.7920494006783354</v>
      </c>
      <c r="AQ31" s="19">
        <f t="shared" si="13"/>
        <v>0</v>
      </c>
      <c r="AR31" s="19">
        <f t="shared" si="25"/>
        <v>201.97266618168715</v>
      </c>
      <c r="AS31" s="23">
        <f t="shared" si="14"/>
        <v>1257.6326661816872</v>
      </c>
    </row>
    <row r="32" spans="1:45">
      <c r="E32" s="35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6"/>
        <v>2</v>
      </c>
      <c r="I32" s="19">
        <v>2.2000000000000002</v>
      </c>
      <c r="J32" s="36">
        <f>'Flow Rate Calculations'!$B$7</f>
        <v>4.0831050228310497</v>
      </c>
      <c r="K32" s="36">
        <f t="shared" si="15"/>
        <v>1.0741261942924094</v>
      </c>
      <c r="L32" s="37">
        <f>$I32*$K32/'Calculation Constants'!$B$7</f>
        <v>2091219.139330355</v>
      </c>
      <c r="M32" s="37" t="str">
        <f t="shared" si="1"/>
        <v>Greater Dynamic Pressures</v>
      </c>
      <c r="N32" s="23">
        <f t="shared" si="16"/>
        <v>208.9508148803211</v>
      </c>
      <c r="O32" s="56">
        <f t="shared" si="2"/>
        <v>207.42035075992817</v>
      </c>
      <c r="P32" s="65">
        <f>MAX(I32*1000/'Calculation Constants'!$B$14,O32*10*I32*1000/2/('Calculation Constants'!$B$12*1000*'Calculation Constants'!$B$13))</f>
        <v>15.210825722394732</v>
      </c>
      <c r="Q32" s="67">
        <f t="shared" si="3"/>
        <v>1639124.156544388</v>
      </c>
      <c r="R32" s="27">
        <f>(1/(2*LOG(3.7*$I32/'Calculation Constants'!$B$2*1000)))^2</f>
        <v>8.4679866037394684E-3</v>
      </c>
      <c r="S32" s="19">
        <f t="shared" si="17"/>
        <v>0.45268811177167712</v>
      </c>
      <c r="T32" s="19">
        <f>IF($H32&gt;0,'Calculation Constants'!$B$9*Hydraulics!$K32^2/2/9.81/MAX($F$4:$F$253)*$H32,"")</f>
        <v>3.5282785359788842E-2</v>
      </c>
      <c r="U32" s="19">
        <f t="shared" si="18"/>
        <v>0.48797089713146596</v>
      </c>
      <c r="V32" s="19">
        <f t="shared" si="4"/>
        <v>0</v>
      </c>
      <c r="W32" s="19">
        <f t="shared" si="5"/>
        <v>208.9508148803211</v>
      </c>
      <c r="X32" s="23">
        <f t="shared" si="6"/>
        <v>1265.3548148803211</v>
      </c>
      <c r="Y32" s="22">
        <f>(1/(2*LOG(3.7*$I32/'Calculation Constants'!$B$3*1000)))^2</f>
        <v>9.4904462912918219E-3</v>
      </c>
      <c r="Z32" s="19">
        <f t="shared" si="7"/>
        <v>0.50734754464280807</v>
      </c>
      <c r="AA32" s="19">
        <f>IF($H32&gt;0,'Calculation Constants'!$B$9*Hydraulics!$K32^2/2/9.81/MAX($F$4:$F$253)*$H32,"")</f>
        <v>3.5282785359788842E-2</v>
      </c>
      <c r="AB32" s="19">
        <f t="shared" si="27"/>
        <v>0.54263033000259686</v>
      </c>
      <c r="AC32" s="19">
        <f t="shared" si="8"/>
        <v>0</v>
      </c>
      <c r="AD32" s="19">
        <f t="shared" si="20"/>
        <v>207.42035075992817</v>
      </c>
      <c r="AE32" s="23">
        <f t="shared" si="9"/>
        <v>1263.8243507599282</v>
      </c>
      <c r="AF32" s="27">
        <f>(1/(2*LOG(3.7*$I32/'Calculation Constants'!$B$4*1000)))^2</f>
        <v>1.1152845500629007E-2</v>
      </c>
      <c r="AG32" s="19">
        <f t="shared" si="10"/>
        <v>0.59621735446906032</v>
      </c>
      <c r="AH32" s="19">
        <f>IF($H32&gt;0,'Calculation Constants'!$B$9*Hydraulics!$K32^2/2/9.81/MAX($F$4:$F$253)*$H32,"")</f>
        <v>3.5282785359788842E-2</v>
      </c>
      <c r="AI32" s="19">
        <f t="shared" si="21"/>
        <v>0.63150013982884912</v>
      </c>
      <c r="AJ32" s="19">
        <f t="shared" si="11"/>
        <v>0</v>
      </c>
      <c r="AK32" s="19">
        <f t="shared" si="22"/>
        <v>204.93199608479199</v>
      </c>
      <c r="AL32" s="23">
        <f t="shared" si="12"/>
        <v>1261.335996084792</v>
      </c>
      <c r="AM32" s="22">
        <f>(1/(2*LOG(3.7*($I32-0.008)/'Calculation Constants'!$B$5*1000)))^2</f>
        <v>1.4104604303736145E-2</v>
      </c>
      <c r="AN32" s="19">
        <f t="shared" si="23"/>
        <v>0.75676661531854661</v>
      </c>
      <c r="AO32" s="19">
        <f>IF($H32&gt;0,'Calculation Constants'!$B$9*Hydraulics!$K32^2/2/9.81/MAX($F$4:$F$253)*$H32,"")</f>
        <v>3.5282785359788842E-2</v>
      </c>
      <c r="AP32" s="19">
        <f t="shared" si="24"/>
        <v>0.7920494006783354</v>
      </c>
      <c r="AQ32" s="19">
        <f t="shared" si="13"/>
        <v>0</v>
      </c>
      <c r="AR32" s="19">
        <f t="shared" si="25"/>
        <v>200.43661678100898</v>
      </c>
      <c r="AS32" s="23">
        <f t="shared" si="14"/>
        <v>1256.840616781009</v>
      </c>
    </row>
    <row r="33" spans="5:45">
      <c r="E33" s="35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6"/>
        <v>2</v>
      </c>
      <c r="I33" s="19">
        <v>2.2000000000000002</v>
      </c>
      <c r="J33" s="36">
        <f>'Flow Rate Calculations'!$B$7</f>
        <v>4.0831050228310497</v>
      </c>
      <c r="K33" s="36">
        <f t="shared" si="15"/>
        <v>1.0741261942924094</v>
      </c>
      <c r="L33" s="37">
        <f>$I33*$K33/'Calculation Constants'!$B$7</f>
        <v>2091219.139330355</v>
      </c>
      <c r="M33" s="37" t="str">
        <f t="shared" si="1"/>
        <v>Greater Dynamic Pressures</v>
      </c>
      <c r="N33" s="23">
        <f t="shared" si="16"/>
        <v>208.02584398318982</v>
      </c>
      <c r="O33" s="56">
        <f t="shared" si="2"/>
        <v>206.4407204299257</v>
      </c>
      <c r="P33" s="65">
        <f>MAX(I33*1000/'Calculation Constants'!$B$14,O33*10*I33*1000/2/('Calculation Constants'!$B$12*1000*'Calculation Constants'!$B$13))</f>
        <v>15.138986164861219</v>
      </c>
      <c r="Q33" s="67">
        <f t="shared" si="3"/>
        <v>1631436.3421043623</v>
      </c>
      <c r="R33" s="27">
        <f>(1/(2*LOG(3.7*$I33/'Calculation Constants'!$B$2*1000)))^2</f>
        <v>8.4679866037394684E-3</v>
      </c>
      <c r="S33" s="19">
        <f t="shared" si="17"/>
        <v>0.45268811177167712</v>
      </c>
      <c r="T33" s="19">
        <f>IF($H33&gt;0,'Calculation Constants'!$B$9*Hydraulics!$K33^2/2/9.81/MAX($F$4:$F$253)*$H33,"")</f>
        <v>3.5282785359788842E-2</v>
      </c>
      <c r="U33" s="19">
        <f t="shared" si="18"/>
        <v>0.48797089713146596</v>
      </c>
      <c r="V33" s="19">
        <f t="shared" si="4"/>
        <v>0</v>
      </c>
      <c r="W33" s="19">
        <f t="shared" si="5"/>
        <v>208.02584398318982</v>
      </c>
      <c r="X33" s="23">
        <f t="shared" si="6"/>
        <v>1264.8668439831897</v>
      </c>
      <c r="Y33" s="22">
        <f>(1/(2*LOG(3.7*$I33/'Calculation Constants'!$B$3*1000)))^2</f>
        <v>9.4904462912918219E-3</v>
      </c>
      <c r="Z33" s="19">
        <f t="shared" si="7"/>
        <v>0.50734754464280807</v>
      </c>
      <c r="AA33" s="19">
        <f>IF($H33&gt;0,'Calculation Constants'!$B$9*Hydraulics!$K33^2/2/9.81/MAX($F$4:$F$253)*$H33,"")</f>
        <v>3.5282785359788842E-2</v>
      </c>
      <c r="AB33" s="19">
        <f t="shared" si="27"/>
        <v>0.54263033000259686</v>
      </c>
      <c r="AC33" s="19">
        <f t="shared" si="8"/>
        <v>0</v>
      </c>
      <c r="AD33" s="19">
        <f t="shared" si="20"/>
        <v>206.4407204299257</v>
      </c>
      <c r="AE33" s="23">
        <f t="shared" si="9"/>
        <v>1263.2817204299256</v>
      </c>
      <c r="AF33" s="27">
        <f>(1/(2*LOG(3.7*$I33/'Calculation Constants'!$B$4*1000)))^2</f>
        <v>1.1152845500629007E-2</v>
      </c>
      <c r="AG33" s="19">
        <f t="shared" si="10"/>
        <v>0.59621735446906032</v>
      </c>
      <c r="AH33" s="19">
        <f>IF($H33&gt;0,'Calculation Constants'!$B$9*Hydraulics!$K33^2/2/9.81/MAX($F$4:$F$253)*$H33,"")</f>
        <v>3.5282785359788842E-2</v>
      </c>
      <c r="AI33" s="19">
        <f t="shared" si="21"/>
        <v>0.63150013982884912</v>
      </c>
      <c r="AJ33" s="19">
        <f t="shared" si="11"/>
        <v>0</v>
      </c>
      <c r="AK33" s="19">
        <f t="shared" si="22"/>
        <v>203.86349594496323</v>
      </c>
      <c r="AL33" s="23">
        <f t="shared" si="12"/>
        <v>1260.7044959449631</v>
      </c>
      <c r="AM33" s="22">
        <f>(1/(2*LOG(3.7*($I33-0.008)/'Calculation Constants'!$B$5*1000)))^2</f>
        <v>1.4104604303736145E-2</v>
      </c>
      <c r="AN33" s="19">
        <f t="shared" si="23"/>
        <v>0.75676661531854661</v>
      </c>
      <c r="AO33" s="19">
        <f>IF($H33&gt;0,'Calculation Constants'!$B$9*Hydraulics!$K33^2/2/9.81/MAX($F$4:$F$253)*$H33,"")</f>
        <v>3.5282785359788842E-2</v>
      </c>
      <c r="AP33" s="19">
        <f t="shared" si="24"/>
        <v>0.7920494006783354</v>
      </c>
      <c r="AQ33" s="19">
        <f t="shared" si="13"/>
        <v>0</v>
      </c>
      <c r="AR33" s="19">
        <f t="shared" si="25"/>
        <v>199.20756738033083</v>
      </c>
      <c r="AS33" s="23">
        <f t="shared" si="14"/>
        <v>1256.0485673803307</v>
      </c>
    </row>
    <row r="34" spans="5:45">
      <c r="E34" s="35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6"/>
        <v>2</v>
      </c>
      <c r="I34" s="19">
        <v>2.2000000000000002</v>
      </c>
      <c r="J34" s="36">
        <f>'Flow Rate Calculations'!$B$7</f>
        <v>4.0831050228310497</v>
      </c>
      <c r="K34" s="36">
        <f t="shared" si="15"/>
        <v>1.0741261942924094</v>
      </c>
      <c r="L34" s="37">
        <f>$I34*$K34/'Calculation Constants'!$B$7</f>
        <v>2091219.139330355</v>
      </c>
      <c r="M34" s="37" t="str">
        <f t="shared" si="1"/>
        <v>Greater Dynamic Pressures</v>
      </c>
      <c r="N34" s="23">
        <f t="shared" si="16"/>
        <v>208.00187308605837</v>
      </c>
      <c r="O34" s="56">
        <f t="shared" si="2"/>
        <v>206.36209009992308</v>
      </c>
      <c r="P34" s="65">
        <f>MAX(I34*1000/'Calculation Constants'!$B$14,O34*10*I34*1000/2/('Calculation Constants'!$B$12*1000*'Calculation Constants'!$B$13))</f>
        <v>15.133219940661025</v>
      </c>
      <c r="Q34" s="67">
        <f t="shared" si="3"/>
        <v>1630819.2552400888</v>
      </c>
      <c r="R34" s="27">
        <f>(1/(2*LOG(3.7*$I34/'Calculation Constants'!$B$2*1000)))^2</f>
        <v>8.4679866037394684E-3</v>
      </c>
      <c r="S34" s="19">
        <f t="shared" si="17"/>
        <v>0.45268811177167712</v>
      </c>
      <c r="T34" s="19">
        <f>IF($H34&gt;0,'Calculation Constants'!$B$9*Hydraulics!$K34^2/2/9.81/MAX($F$4:$F$253)*$H34,"")</f>
        <v>3.5282785359788842E-2</v>
      </c>
      <c r="U34" s="19">
        <f t="shared" si="18"/>
        <v>0.48797089713146596</v>
      </c>
      <c r="V34" s="19">
        <f t="shared" si="4"/>
        <v>0</v>
      </c>
      <c r="W34" s="19">
        <f t="shared" si="5"/>
        <v>208.00187308605837</v>
      </c>
      <c r="X34" s="23">
        <f t="shared" si="6"/>
        <v>1264.3788730860583</v>
      </c>
      <c r="Y34" s="22">
        <f>(1/(2*LOG(3.7*$I34/'Calculation Constants'!$B$3*1000)))^2</f>
        <v>9.4904462912918219E-3</v>
      </c>
      <c r="Z34" s="19">
        <f t="shared" si="7"/>
        <v>0.50734754464280807</v>
      </c>
      <c r="AA34" s="19">
        <f>IF($H34&gt;0,'Calculation Constants'!$B$9*Hydraulics!$K34^2/2/9.81/MAX($F$4:$F$253)*$H34,"")</f>
        <v>3.5282785359788842E-2</v>
      </c>
      <c r="AB34" s="19">
        <f t="shared" si="27"/>
        <v>0.54263033000259686</v>
      </c>
      <c r="AC34" s="19">
        <f t="shared" si="8"/>
        <v>0</v>
      </c>
      <c r="AD34" s="19">
        <f t="shared" si="20"/>
        <v>206.36209009992308</v>
      </c>
      <c r="AE34" s="23">
        <f t="shared" si="9"/>
        <v>1262.739090099923</v>
      </c>
      <c r="AF34" s="27">
        <f>(1/(2*LOG(3.7*$I34/'Calculation Constants'!$B$4*1000)))^2</f>
        <v>1.1152845500629007E-2</v>
      </c>
      <c r="AG34" s="19">
        <f t="shared" si="10"/>
        <v>0.59621735446906032</v>
      </c>
      <c r="AH34" s="19">
        <f>IF($H34&gt;0,'Calculation Constants'!$B$9*Hydraulics!$K34^2/2/9.81/MAX($F$4:$F$253)*$H34,"")</f>
        <v>3.5282785359788842E-2</v>
      </c>
      <c r="AI34" s="19">
        <f t="shared" si="21"/>
        <v>0.63150013982884912</v>
      </c>
      <c r="AJ34" s="19">
        <f t="shared" si="11"/>
        <v>0</v>
      </c>
      <c r="AK34" s="19">
        <f t="shared" si="22"/>
        <v>203.69599580513432</v>
      </c>
      <c r="AL34" s="23">
        <f t="shared" si="12"/>
        <v>1260.0729958051343</v>
      </c>
      <c r="AM34" s="22">
        <f>(1/(2*LOG(3.7*($I34-0.008)/'Calculation Constants'!$B$5*1000)))^2</f>
        <v>1.4104604303736145E-2</v>
      </c>
      <c r="AN34" s="19">
        <f t="shared" si="23"/>
        <v>0.75676661531854661</v>
      </c>
      <c r="AO34" s="19">
        <f>IF($H34&gt;0,'Calculation Constants'!$B$9*Hydraulics!$K34^2/2/9.81/MAX($F$4:$F$253)*$H34,"")</f>
        <v>3.5282785359788842E-2</v>
      </c>
      <c r="AP34" s="19">
        <f t="shared" si="24"/>
        <v>0.7920494006783354</v>
      </c>
      <c r="AQ34" s="19">
        <f t="shared" si="13"/>
        <v>0</v>
      </c>
      <c r="AR34" s="19">
        <f t="shared" si="25"/>
        <v>198.87951797965252</v>
      </c>
      <c r="AS34" s="23">
        <f t="shared" si="14"/>
        <v>1255.2565179796525</v>
      </c>
    </row>
    <row r="35" spans="5:45">
      <c r="E35" s="35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6"/>
        <v>2</v>
      </c>
      <c r="I35" s="19">
        <v>2.2000000000000002</v>
      </c>
      <c r="J35" s="36">
        <f>'Flow Rate Calculations'!$B$7</f>
        <v>4.0831050228310497</v>
      </c>
      <c r="K35" s="36">
        <f t="shared" si="15"/>
        <v>1.0741261942924094</v>
      </c>
      <c r="L35" s="37">
        <f>$I35*$K35/'Calculation Constants'!$B$7</f>
        <v>2091219.139330355</v>
      </c>
      <c r="M35" s="37" t="str">
        <f t="shared" si="1"/>
        <v>Greater Dynamic Pressures</v>
      </c>
      <c r="N35" s="23">
        <f t="shared" si="16"/>
        <v>211.387902188927</v>
      </c>
      <c r="O35" s="56">
        <f t="shared" si="2"/>
        <v>209.69345976992054</v>
      </c>
      <c r="P35" s="65">
        <f>MAX(I35*1000/'Calculation Constants'!$B$14,O35*10*I35*1000/2/('Calculation Constants'!$B$12*1000*'Calculation Constants'!$B$13))</f>
        <v>15.377520383127505</v>
      </c>
      <c r="Q35" s="67">
        <f t="shared" si="3"/>
        <v>1656960.8021489242</v>
      </c>
      <c r="R35" s="27">
        <f>(1/(2*LOG(3.7*$I35/'Calculation Constants'!$B$2*1000)))^2</f>
        <v>8.4679866037394684E-3</v>
      </c>
      <c r="S35" s="19">
        <f t="shared" si="17"/>
        <v>0.45268811177167712</v>
      </c>
      <c r="T35" s="19">
        <f>IF($H35&gt;0,'Calculation Constants'!$B$9*Hydraulics!$K35^2/2/9.81/MAX($F$4:$F$253)*$H35,"")</f>
        <v>3.5282785359788842E-2</v>
      </c>
      <c r="U35" s="19">
        <f t="shared" si="18"/>
        <v>0.48797089713146596</v>
      </c>
      <c r="V35" s="19">
        <f t="shared" si="4"/>
        <v>0</v>
      </c>
      <c r="W35" s="19">
        <f t="shared" si="5"/>
        <v>211.387902188927</v>
      </c>
      <c r="X35" s="23">
        <f t="shared" si="6"/>
        <v>1263.8909021889269</v>
      </c>
      <c r="Y35" s="22">
        <f>(1/(2*LOG(3.7*$I35/'Calculation Constants'!$B$3*1000)))^2</f>
        <v>9.4904462912918219E-3</v>
      </c>
      <c r="Z35" s="19">
        <f t="shared" si="7"/>
        <v>0.50734754464280807</v>
      </c>
      <c r="AA35" s="19">
        <f>IF($H35&gt;0,'Calculation Constants'!$B$9*Hydraulics!$K35^2/2/9.81/MAX($F$4:$F$253)*$H35,"")</f>
        <v>3.5282785359788842E-2</v>
      </c>
      <c r="AB35" s="19">
        <f t="shared" si="27"/>
        <v>0.54263033000259686</v>
      </c>
      <c r="AC35" s="19">
        <f t="shared" si="8"/>
        <v>0</v>
      </c>
      <c r="AD35" s="19">
        <f t="shared" si="20"/>
        <v>209.69345976992054</v>
      </c>
      <c r="AE35" s="23">
        <f t="shared" si="9"/>
        <v>1262.1964597699205</v>
      </c>
      <c r="AF35" s="27">
        <f>(1/(2*LOG(3.7*$I35/'Calculation Constants'!$B$4*1000)))^2</f>
        <v>1.1152845500629007E-2</v>
      </c>
      <c r="AG35" s="19">
        <f t="shared" si="10"/>
        <v>0.59621735446906032</v>
      </c>
      <c r="AH35" s="19">
        <f>IF($H35&gt;0,'Calculation Constants'!$B$9*Hydraulics!$K35^2/2/9.81/MAX($F$4:$F$253)*$H35,"")</f>
        <v>3.5282785359788842E-2</v>
      </c>
      <c r="AI35" s="19">
        <f t="shared" si="21"/>
        <v>0.63150013982884912</v>
      </c>
      <c r="AJ35" s="19">
        <f t="shared" si="11"/>
        <v>0</v>
      </c>
      <c r="AK35" s="19">
        <f t="shared" si="22"/>
        <v>206.93849566530548</v>
      </c>
      <c r="AL35" s="23">
        <f t="shared" si="12"/>
        <v>1259.4414956653054</v>
      </c>
      <c r="AM35" s="22">
        <f>(1/(2*LOG(3.7*($I35-0.008)/'Calculation Constants'!$B$5*1000)))^2</f>
        <v>1.4104604303736145E-2</v>
      </c>
      <c r="AN35" s="19">
        <f t="shared" si="23"/>
        <v>0.75676661531854661</v>
      </c>
      <c r="AO35" s="19">
        <f>IF($H35&gt;0,'Calculation Constants'!$B$9*Hydraulics!$K35^2/2/9.81/MAX($F$4:$F$253)*$H35,"")</f>
        <v>3.5282785359788842E-2</v>
      </c>
      <c r="AP35" s="19">
        <f t="shared" si="24"/>
        <v>0.7920494006783354</v>
      </c>
      <c r="AQ35" s="19">
        <f t="shared" si="13"/>
        <v>0</v>
      </c>
      <c r="AR35" s="19">
        <f t="shared" si="25"/>
        <v>201.96146857897429</v>
      </c>
      <c r="AS35" s="23">
        <f t="shared" si="14"/>
        <v>1254.4644685789742</v>
      </c>
    </row>
    <row r="36" spans="5:45">
      <c r="E36" s="35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6"/>
        <v>2</v>
      </c>
      <c r="I36" s="19">
        <v>2.2000000000000002</v>
      </c>
      <c r="J36" s="36">
        <f>'Flow Rate Calculations'!$B$7</f>
        <v>4.0831050228310497</v>
      </c>
      <c r="K36" s="36">
        <f t="shared" si="15"/>
        <v>1.0741261942924094</v>
      </c>
      <c r="L36" s="37">
        <f>$I36*$K36/'Calculation Constants'!$B$7</f>
        <v>2091219.139330355</v>
      </c>
      <c r="M36" s="37" t="str">
        <f t="shared" si="1"/>
        <v>Greater Dynamic Pressures</v>
      </c>
      <c r="N36" s="23">
        <f t="shared" si="16"/>
        <v>217.3809312917956</v>
      </c>
      <c r="O36" s="56">
        <f t="shared" si="2"/>
        <v>215.63182943991796</v>
      </c>
      <c r="P36" s="65">
        <f>MAX(I36*1000/'Calculation Constants'!$B$14,O36*10*I36*1000/2/('Calculation Constants'!$B$12*1000*'Calculation Constants'!$B$13))</f>
        <v>15.813000825593983</v>
      </c>
      <c r="Q36" s="67">
        <f t="shared" si="3"/>
        <v>1703545.1031504844</v>
      </c>
      <c r="R36" s="27">
        <f>(1/(2*LOG(3.7*$I36/'Calculation Constants'!$B$2*1000)))^2</f>
        <v>8.4679866037394684E-3</v>
      </c>
      <c r="S36" s="19">
        <f t="shared" si="17"/>
        <v>0.45268811177167712</v>
      </c>
      <c r="T36" s="19">
        <f>IF($H36&gt;0,'Calculation Constants'!$B$9*Hydraulics!$K36^2/2/9.81/MAX($F$4:$F$253)*$H36,"")</f>
        <v>3.5282785359788842E-2</v>
      </c>
      <c r="U36" s="19">
        <f t="shared" si="18"/>
        <v>0.48797089713146596</v>
      </c>
      <c r="V36" s="19">
        <f t="shared" si="4"/>
        <v>0</v>
      </c>
      <c r="W36" s="19">
        <f t="shared" si="5"/>
        <v>217.3809312917956</v>
      </c>
      <c r="X36" s="23">
        <f t="shared" si="6"/>
        <v>1263.4029312917955</v>
      </c>
      <c r="Y36" s="22">
        <f>(1/(2*LOG(3.7*$I36/'Calculation Constants'!$B$3*1000)))^2</f>
        <v>9.4904462912918219E-3</v>
      </c>
      <c r="Z36" s="19">
        <f t="shared" si="7"/>
        <v>0.50734754464280807</v>
      </c>
      <c r="AA36" s="19">
        <f>IF($H36&gt;0,'Calculation Constants'!$B$9*Hydraulics!$K36^2/2/9.81/MAX($F$4:$F$253)*$H36,"")</f>
        <v>3.5282785359788842E-2</v>
      </c>
      <c r="AB36" s="19">
        <f t="shared" si="27"/>
        <v>0.54263033000259686</v>
      </c>
      <c r="AC36" s="19">
        <f t="shared" si="8"/>
        <v>0</v>
      </c>
      <c r="AD36" s="19">
        <f t="shared" si="20"/>
        <v>215.63182943991796</v>
      </c>
      <c r="AE36" s="23">
        <f t="shared" si="9"/>
        <v>1261.6538294399179</v>
      </c>
      <c r="AF36" s="27">
        <f>(1/(2*LOG(3.7*$I36/'Calculation Constants'!$B$4*1000)))^2</f>
        <v>1.1152845500629007E-2</v>
      </c>
      <c r="AG36" s="19">
        <f t="shared" si="10"/>
        <v>0.59621735446906032</v>
      </c>
      <c r="AH36" s="19">
        <f>IF($H36&gt;0,'Calculation Constants'!$B$9*Hydraulics!$K36^2/2/9.81/MAX($F$4:$F$253)*$H36,"")</f>
        <v>3.5282785359788842E-2</v>
      </c>
      <c r="AI36" s="19">
        <f t="shared" si="21"/>
        <v>0.63150013982884912</v>
      </c>
      <c r="AJ36" s="19">
        <f t="shared" si="11"/>
        <v>0</v>
      </c>
      <c r="AK36" s="19">
        <f t="shared" si="22"/>
        <v>212.78799552547662</v>
      </c>
      <c r="AL36" s="23">
        <f t="shared" si="12"/>
        <v>1258.8099955254766</v>
      </c>
      <c r="AM36" s="22">
        <f>(1/(2*LOG(3.7*($I36-0.008)/'Calculation Constants'!$B$5*1000)))^2</f>
        <v>1.4104604303736145E-2</v>
      </c>
      <c r="AN36" s="19">
        <f t="shared" si="23"/>
        <v>0.75676661531854661</v>
      </c>
      <c r="AO36" s="19">
        <f>IF($H36&gt;0,'Calculation Constants'!$B$9*Hydraulics!$K36^2/2/9.81/MAX($F$4:$F$253)*$H36,"")</f>
        <v>3.5282785359788842E-2</v>
      </c>
      <c r="AP36" s="19">
        <f t="shared" si="24"/>
        <v>0.7920494006783354</v>
      </c>
      <c r="AQ36" s="19">
        <f t="shared" si="13"/>
        <v>0</v>
      </c>
      <c r="AR36" s="19">
        <f t="shared" si="25"/>
        <v>207.65041917829603</v>
      </c>
      <c r="AS36" s="23">
        <f t="shared" si="14"/>
        <v>1253.672419178296</v>
      </c>
    </row>
    <row r="37" spans="5:45">
      <c r="E37" s="35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6"/>
        <v>2</v>
      </c>
      <c r="I37" s="19">
        <v>2.2000000000000002</v>
      </c>
      <c r="J37" s="36">
        <f>'Flow Rate Calculations'!$B$7</f>
        <v>4.0831050228310497</v>
      </c>
      <c r="K37" s="36">
        <f t="shared" si="15"/>
        <v>1.0741261942924094</v>
      </c>
      <c r="L37" s="37">
        <f>$I37*$K37/'Calculation Constants'!$B$7</f>
        <v>2091219.139330355</v>
      </c>
      <c r="M37" s="37" t="str">
        <f t="shared" si="1"/>
        <v>Greater Dynamic Pressures</v>
      </c>
      <c r="N37" s="23">
        <f t="shared" si="16"/>
        <v>226.3399603946641</v>
      </c>
      <c r="O37" s="56">
        <f t="shared" si="2"/>
        <v>224.53619910991529</v>
      </c>
      <c r="P37" s="65">
        <f>MAX(I37*1000/'Calculation Constants'!$B$14,O37*10*I37*1000/2/('Calculation Constants'!$B$12*1000*'Calculation Constants'!$B$13))</f>
        <v>16.465987934727121</v>
      </c>
      <c r="Q37" s="67">
        <f t="shared" si="3"/>
        <v>1773361.5142210305</v>
      </c>
      <c r="R37" s="27">
        <f>(1/(2*LOG(3.7*$I37/'Calculation Constants'!$B$2*1000)))^2</f>
        <v>8.4679866037394684E-3</v>
      </c>
      <c r="S37" s="19">
        <f t="shared" si="17"/>
        <v>0.45268811177167712</v>
      </c>
      <c r="T37" s="19">
        <f>IF($H37&gt;0,'Calculation Constants'!$B$9*Hydraulics!$K37^2/2/9.81/MAX($F$4:$F$253)*$H37,"")</f>
        <v>3.5282785359788842E-2</v>
      </c>
      <c r="U37" s="19">
        <f t="shared" si="18"/>
        <v>0.48797089713146596</v>
      </c>
      <c r="V37" s="19">
        <f t="shared" si="4"/>
        <v>0</v>
      </c>
      <c r="W37" s="19">
        <f t="shared" si="5"/>
        <v>226.3399603946641</v>
      </c>
      <c r="X37" s="23">
        <f t="shared" si="6"/>
        <v>1262.9149603946641</v>
      </c>
      <c r="Y37" s="22">
        <f>(1/(2*LOG(3.7*$I37/'Calculation Constants'!$B$3*1000)))^2</f>
        <v>9.4904462912918219E-3</v>
      </c>
      <c r="Z37" s="19">
        <f t="shared" si="7"/>
        <v>0.50734754464280807</v>
      </c>
      <c r="AA37" s="19">
        <f>IF($H37&gt;0,'Calculation Constants'!$B$9*Hydraulics!$K37^2/2/9.81/MAX($F$4:$F$253)*$H37,"")</f>
        <v>3.5282785359788842E-2</v>
      </c>
      <c r="AB37" s="19">
        <f t="shared" si="27"/>
        <v>0.54263033000259686</v>
      </c>
      <c r="AC37" s="19">
        <f t="shared" si="8"/>
        <v>0</v>
      </c>
      <c r="AD37" s="19">
        <f t="shared" si="20"/>
        <v>224.53619910991529</v>
      </c>
      <c r="AE37" s="23">
        <f t="shared" si="9"/>
        <v>1261.1111991099153</v>
      </c>
      <c r="AF37" s="27">
        <f>(1/(2*LOG(3.7*$I37/'Calculation Constants'!$B$4*1000)))^2</f>
        <v>1.1152845500629007E-2</v>
      </c>
      <c r="AG37" s="19">
        <f t="shared" si="10"/>
        <v>0.59621735446906032</v>
      </c>
      <c r="AH37" s="19">
        <f>IF($H37&gt;0,'Calculation Constants'!$B$9*Hydraulics!$K37^2/2/9.81/MAX($F$4:$F$253)*$H37,"")</f>
        <v>3.5282785359788842E-2</v>
      </c>
      <c r="AI37" s="19">
        <f t="shared" si="21"/>
        <v>0.63150013982884912</v>
      </c>
      <c r="AJ37" s="19">
        <f t="shared" si="11"/>
        <v>0</v>
      </c>
      <c r="AK37" s="19">
        <f t="shared" si="22"/>
        <v>221.60349538564765</v>
      </c>
      <c r="AL37" s="23">
        <f t="shared" si="12"/>
        <v>1258.1784953856477</v>
      </c>
      <c r="AM37" s="22">
        <f>(1/(2*LOG(3.7*($I37-0.008)/'Calculation Constants'!$B$5*1000)))^2</f>
        <v>1.4104604303736145E-2</v>
      </c>
      <c r="AN37" s="19">
        <f t="shared" si="23"/>
        <v>0.75676661531854661</v>
      </c>
      <c r="AO37" s="19">
        <f>IF($H37&gt;0,'Calculation Constants'!$B$9*Hydraulics!$K37^2/2/9.81/MAX($F$4:$F$253)*$H37,"")</f>
        <v>3.5282785359788842E-2</v>
      </c>
      <c r="AP37" s="19">
        <f t="shared" si="24"/>
        <v>0.7920494006783354</v>
      </c>
      <c r="AQ37" s="19">
        <f t="shared" si="13"/>
        <v>0</v>
      </c>
      <c r="AR37" s="19">
        <f t="shared" si="25"/>
        <v>216.30536977761767</v>
      </c>
      <c r="AS37" s="23">
        <f t="shared" si="14"/>
        <v>1252.8803697776177</v>
      </c>
    </row>
    <row r="38" spans="5:45">
      <c r="E38" s="35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6"/>
        <v>2</v>
      </c>
      <c r="I38" s="19">
        <v>2.2000000000000002</v>
      </c>
      <c r="J38" s="36">
        <f>'Flow Rate Calculations'!$B$7</f>
        <v>4.0831050228310497</v>
      </c>
      <c r="K38" s="36">
        <f t="shared" si="15"/>
        <v>1.0741261942924094</v>
      </c>
      <c r="L38" s="37">
        <f>$I38*$K38/'Calculation Constants'!$B$7</f>
        <v>2091219.139330355</v>
      </c>
      <c r="M38" s="37" t="str">
        <f t="shared" si="1"/>
        <v>Greater Dynamic Pressures</v>
      </c>
      <c r="N38" s="23">
        <f t="shared" si="16"/>
        <v>230.60898949753278</v>
      </c>
      <c r="O38" s="56">
        <f t="shared" si="2"/>
        <v>228.75056877991278</v>
      </c>
      <c r="P38" s="65">
        <f>MAX(I38*1000/'Calculation Constants'!$B$14,O38*10*I38*1000/2/('Calculation Constants'!$B$12*1000*'Calculation Constants'!$B$13))</f>
        <v>16.775041710526938</v>
      </c>
      <c r="Q38" s="67">
        <f t="shared" si="3"/>
        <v>1806390.4197015229</v>
      </c>
      <c r="R38" s="27">
        <f>(1/(2*LOG(3.7*$I38/'Calculation Constants'!$B$2*1000)))^2</f>
        <v>8.4679866037394684E-3</v>
      </c>
      <c r="S38" s="19">
        <f t="shared" si="17"/>
        <v>0.45268811177167712</v>
      </c>
      <c r="T38" s="19">
        <f>IF($H38&gt;0,'Calculation Constants'!$B$9*Hydraulics!$K38^2/2/9.81/MAX($F$4:$F$253)*$H38,"")</f>
        <v>3.5282785359788842E-2</v>
      </c>
      <c r="U38" s="19">
        <f t="shared" si="18"/>
        <v>0.48797089713146596</v>
      </c>
      <c r="V38" s="19">
        <f t="shared" si="4"/>
        <v>0</v>
      </c>
      <c r="W38" s="19">
        <f t="shared" si="5"/>
        <v>230.60898949753278</v>
      </c>
      <c r="X38" s="23">
        <f t="shared" si="6"/>
        <v>1262.4269894975328</v>
      </c>
      <c r="Y38" s="22">
        <f>(1/(2*LOG(3.7*$I38/'Calculation Constants'!$B$3*1000)))^2</f>
        <v>9.4904462912918219E-3</v>
      </c>
      <c r="Z38" s="19">
        <f t="shared" si="7"/>
        <v>0.50734754464280807</v>
      </c>
      <c r="AA38" s="19">
        <f>IF($H38&gt;0,'Calculation Constants'!$B$9*Hydraulics!$K38^2/2/9.81/MAX($F$4:$F$253)*$H38,"")</f>
        <v>3.5282785359788842E-2</v>
      </c>
      <c r="AB38" s="19">
        <f t="shared" si="27"/>
        <v>0.54263033000259686</v>
      </c>
      <c r="AC38" s="19">
        <f t="shared" si="8"/>
        <v>0</v>
      </c>
      <c r="AD38" s="19">
        <f t="shared" si="20"/>
        <v>228.75056877991278</v>
      </c>
      <c r="AE38" s="23">
        <f t="shared" si="9"/>
        <v>1260.5685687799128</v>
      </c>
      <c r="AF38" s="27">
        <f>(1/(2*LOG(3.7*$I38/'Calculation Constants'!$B$4*1000)))^2</f>
        <v>1.1152845500629007E-2</v>
      </c>
      <c r="AG38" s="19">
        <f t="shared" si="10"/>
        <v>0.59621735446906032</v>
      </c>
      <c r="AH38" s="19">
        <f>IF($H38&gt;0,'Calculation Constants'!$B$9*Hydraulics!$K38^2/2/9.81/MAX($F$4:$F$253)*$H38,"")</f>
        <v>3.5282785359788842E-2</v>
      </c>
      <c r="AI38" s="19">
        <f t="shared" si="21"/>
        <v>0.63150013982884912</v>
      </c>
      <c r="AJ38" s="19">
        <f t="shared" si="11"/>
        <v>0</v>
      </c>
      <c r="AK38" s="19">
        <f t="shared" si="22"/>
        <v>225.72899524581885</v>
      </c>
      <c r="AL38" s="23">
        <f t="shared" si="12"/>
        <v>1257.5469952458188</v>
      </c>
      <c r="AM38" s="22">
        <f>(1/(2*LOG(3.7*($I38-0.008)/'Calculation Constants'!$B$5*1000)))^2</f>
        <v>1.4104604303736145E-2</v>
      </c>
      <c r="AN38" s="19">
        <f t="shared" si="23"/>
        <v>0.75676661531854661</v>
      </c>
      <c r="AO38" s="19">
        <f>IF($H38&gt;0,'Calculation Constants'!$B$9*Hydraulics!$K38^2/2/9.81/MAX($F$4:$F$253)*$H38,"")</f>
        <v>3.5282785359788842E-2</v>
      </c>
      <c r="AP38" s="19">
        <f t="shared" si="24"/>
        <v>0.7920494006783354</v>
      </c>
      <c r="AQ38" s="19">
        <f t="shared" si="13"/>
        <v>0</v>
      </c>
      <c r="AR38" s="19">
        <f t="shared" si="25"/>
        <v>220.27032037693948</v>
      </c>
      <c r="AS38" s="23">
        <f t="shared" si="14"/>
        <v>1252.0883203769395</v>
      </c>
    </row>
    <row r="39" spans="5:45">
      <c r="E39" s="35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6"/>
        <v>2</v>
      </c>
      <c r="I39" s="19">
        <v>2.2000000000000002</v>
      </c>
      <c r="J39" s="36">
        <f>'Flow Rate Calculations'!$B$7</f>
        <v>4.0831050228310497</v>
      </c>
      <c r="K39" s="36">
        <f t="shared" si="15"/>
        <v>1.0741261942924094</v>
      </c>
      <c r="L39" s="37">
        <f>$I39*$K39/'Calculation Constants'!$B$7</f>
        <v>2091219.139330355</v>
      </c>
      <c r="M39" s="37" t="str">
        <f t="shared" si="1"/>
        <v>Greater Dynamic Pressures</v>
      </c>
      <c r="N39" s="23">
        <f t="shared" si="16"/>
        <v>234.26401860040141</v>
      </c>
      <c r="O39" s="56">
        <f t="shared" si="2"/>
        <v>232.35093844991025</v>
      </c>
      <c r="P39" s="65">
        <f>MAX(I39*1000/'Calculation Constants'!$B$14,O39*10*I39*1000/2/('Calculation Constants'!$B$12*1000*'Calculation Constants'!$B$13))</f>
        <v>17.039068819660084</v>
      </c>
      <c r="Q39" s="67">
        <f t="shared" si="3"/>
        <v>1834599.8144521576</v>
      </c>
      <c r="R39" s="27">
        <f>(1/(2*LOG(3.7*$I39/'Calculation Constants'!$B$2*1000)))^2</f>
        <v>8.4679866037394684E-3</v>
      </c>
      <c r="S39" s="19">
        <f t="shared" si="17"/>
        <v>0.45268811177167712</v>
      </c>
      <c r="T39" s="19">
        <f>IF($H39&gt;0,'Calculation Constants'!$B$9*Hydraulics!$K39^2/2/9.81/MAX($F$4:$F$253)*$H39,"")</f>
        <v>3.5282785359788842E-2</v>
      </c>
      <c r="U39" s="19">
        <f t="shared" si="18"/>
        <v>0.48797089713146596</v>
      </c>
      <c r="V39" s="19">
        <f t="shared" si="4"/>
        <v>0</v>
      </c>
      <c r="W39" s="19">
        <f t="shared" si="5"/>
        <v>234.26401860040141</v>
      </c>
      <c r="X39" s="23">
        <f t="shared" si="6"/>
        <v>1261.9390186004014</v>
      </c>
      <c r="Y39" s="22">
        <f>(1/(2*LOG(3.7*$I39/'Calculation Constants'!$B$3*1000)))^2</f>
        <v>9.4904462912918219E-3</v>
      </c>
      <c r="Z39" s="19">
        <f t="shared" si="7"/>
        <v>0.50734754464280807</v>
      </c>
      <c r="AA39" s="19">
        <f>IF($H39&gt;0,'Calculation Constants'!$B$9*Hydraulics!$K39^2/2/9.81/MAX($F$4:$F$253)*$H39,"")</f>
        <v>3.5282785359788842E-2</v>
      </c>
      <c r="AB39" s="19">
        <f t="shared" si="27"/>
        <v>0.54263033000259686</v>
      </c>
      <c r="AC39" s="19">
        <f t="shared" si="8"/>
        <v>0</v>
      </c>
      <c r="AD39" s="19">
        <f t="shared" si="20"/>
        <v>232.35093844991025</v>
      </c>
      <c r="AE39" s="23">
        <f t="shared" si="9"/>
        <v>1260.0259384499102</v>
      </c>
      <c r="AF39" s="27">
        <f>(1/(2*LOG(3.7*$I39/'Calculation Constants'!$B$4*1000)))^2</f>
        <v>1.1152845500629007E-2</v>
      </c>
      <c r="AG39" s="19">
        <f t="shared" si="10"/>
        <v>0.59621735446906032</v>
      </c>
      <c r="AH39" s="19">
        <f>IF($H39&gt;0,'Calculation Constants'!$B$9*Hydraulics!$K39^2/2/9.81/MAX($F$4:$F$253)*$H39,"")</f>
        <v>3.5282785359788842E-2</v>
      </c>
      <c r="AI39" s="19">
        <f t="shared" si="21"/>
        <v>0.63150013982884912</v>
      </c>
      <c r="AJ39" s="19">
        <f t="shared" si="11"/>
        <v>0</v>
      </c>
      <c r="AK39" s="19">
        <f t="shared" si="22"/>
        <v>229.24049510599002</v>
      </c>
      <c r="AL39" s="23">
        <f t="shared" si="12"/>
        <v>1256.91549510599</v>
      </c>
      <c r="AM39" s="22">
        <f>(1/(2*LOG(3.7*($I39-0.008)/'Calculation Constants'!$B$5*1000)))^2</f>
        <v>1.4104604303736145E-2</v>
      </c>
      <c r="AN39" s="19">
        <f t="shared" si="23"/>
        <v>0.75676661531854661</v>
      </c>
      <c r="AO39" s="19">
        <f>IF($H39&gt;0,'Calculation Constants'!$B$9*Hydraulics!$K39^2/2/9.81/MAX($F$4:$F$253)*$H39,"")</f>
        <v>3.5282785359788842E-2</v>
      </c>
      <c r="AP39" s="19">
        <f t="shared" si="24"/>
        <v>0.7920494006783354</v>
      </c>
      <c r="AQ39" s="19">
        <f t="shared" si="13"/>
        <v>0</v>
      </c>
      <c r="AR39" s="19">
        <f t="shared" si="25"/>
        <v>223.62127097626126</v>
      </c>
      <c r="AS39" s="23">
        <f t="shared" si="14"/>
        <v>1251.2962709762612</v>
      </c>
    </row>
    <row r="40" spans="5:45">
      <c r="E40" s="35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6"/>
        <v>2</v>
      </c>
      <c r="I40" s="19">
        <v>2.2000000000000002</v>
      </c>
      <c r="J40" s="36">
        <f>'Flow Rate Calculations'!$B$7</f>
        <v>4.0831050228310497</v>
      </c>
      <c r="K40" s="36">
        <f t="shared" si="15"/>
        <v>1.0741261942924094</v>
      </c>
      <c r="L40" s="37">
        <f>$I40*$K40/'Calculation Constants'!$B$7</f>
        <v>2091219.139330355</v>
      </c>
      <c r="M40" s="37" t="str">
        <f t="shared" si="1"/>
        <v>Greater Dynamic Pressures</v>
      </c>
      <c r="N40" s="23">
        <f t="shared" si="16"/>
        <v>237.60704770326993</v>
      </c>
      <c r="O40" s="56">
        <f t="shared" si="2"/>
        <v>235.63930811990758</v>
      </c>
      <c r="P40" s="65">
        <f>MAX(I40*1000/'Calculation Constants'!$B$14,O40*10*I40*1000/2/('Calculation Constants'!$B$12*1000*'Calculation Constants'!$B$13))</f>
        <v>17.280215928793222</v>
      </c>
      <c r="Q40" s="67">
        <f t="shared" si="3"/>
        <v>1860358.6374211253</v>
      </c>
      <c r="R40" s="27">
        <f>(1/(2*LOG(3.7*$I40/'Calculation Constants'!$B$2*1000)))^2</f>
        <v>8.4679866037394684E-3</v>
      </c>
      <c r="S40" s="19">
        <f t="shared" si="17"/>
        <v>0.45268811177167712</v>
      </c>
      <c r="T40" s="19">
        <f>IF($H40&gt;0,'Calculation Constants'!$B$9*Hydraulics!$K40^2/2/9.81/MAX($F$4:$F$253)*$H40,"")</f>
        <v>3.5282785359788842E-2</v>
      </c>
      <c r="U40" s="19">
        <f t="shared" si="18"/>
        <v>0.48797089713146596</v>
      </c>
      <c r="V40" s="19">
        <f t="shared" si="4"/>
        <v>0</v>
      </c>
      <c r="W40" s="19">
        <f t="shared" si="5"/>
        <v>237.60704770326993</v>
      </c>
      <c r="X40" s="23">
        <f t="shared" si="6"/>
        <v>1261.45104770327</v>
      </c>
      <c r="Y40" s="22">
        <f>(1/(2*LOG(3.7*$I40/'Calculation Constants'!$B$3*1000)))^2</f>
        <v>9.4904462912918219E-3</v>
      </c>
      <c r="Z40" s="19">
        <f t="shared" si="7"/>
        <v>0.50734754464280807</v>
      </c>
      <c r="AA40" s="19">
        <f>IF($H40&gt;0,'Calculation Constants'!$B$9*Hydraulics!$K40^2/2/9.81/MAX($F$4:$F$253)*$H40,"")</f>
        <v>3.5282785359788842E-2</v>
      </c>
      <c r="AB40" s="19">
        <f t="shared" si="27"/>
        <v>0.54263033000259686</v>
      </c>
      <c r="AC40" s="19">
        <f t="shared" si="8"/>
        <v>0</v>
      </c>
      <c r="AD40" s="19">
        <f t="shared" si="20"/>
        <v>235.63930811990758</v>
      </c>
      <c r="AE40" s="23">
        <f t="shared" si="9"/>
        <v>1259.4833081199076</v>
      </c>
      <c r="AF40" s="27">
        <f>(1/(2*LOG(3.7*$I40/'Calculation Constants'!$B$4*1000)))^2</f>
        <v>1.1152845500629007E-2</v>
      </c>
      <c r="AG40" s="19">
        <f t="shared" si="10"/>
        <v>0.59621735446906032</v>
      </c>
      <c r="AH40" s="19">
        <f>IF($H40&gt;0,'Calculation Constants'!$B$9*Hydraulics!$K40^2/2/9.81/MAX($F$4:$F$253)*$H40,"")</f>
        <v>3.5282785359788842E-2</v>
      </c>
      <c r="AI40" s="19">
        <f t="shared" si="21"/>
        <v>0.63150013982884912</v>
      </c>
      <c r="AJ40" s="19">
        <f t="shared" si="11"/>
        <v>0</v>
      </c>
      <c r="AK40" s="19">
        <f t="shared" si="22"/>
        <v>232.43999496616107</v>
      </c>
      <c r="AL40" s="23">
        <f t="shared" si="12"/>
        <v>1256.2839949661611</v>
      </c>
      <c r="AM40" s="22">
        <f>(1/(2*LOG(3.7*($I40-0.008)/'Calculation Constants'!$B$5*1000)))^2</f>
        <v>1.4104604303736145E-2</v>
      </c>
      <c r="AN40" s="19">
        <f t="shared" si="23"/>
        <v>0.75676661531854661</v>
      </c>
      <c r="AO40" s="19">
        <f>IF($H40&gt;0,'Calculation Constants'!$B$9*Hydraulics!$K40^2/2/9.81/MAX($F$4:$F$253)*$H40,"")</f>
        <v>3.5282785359788842E-2</v>
      </c>
      <c r="AP40" s="19">
        <f t="shared" si="24"/>
        <v>0.7920494006783354</v>
      </c>
      <c r="AQ40" s="19">
        <f t="shared" si="13"/>
        <v>0</v>
      </c>
      <c r="AR40" s="19">
        <f t="shared" si="25"/>
        <v>226.66022157558291</v>
      </c>
      <c r="AS40" s="23">
        <f t="shared" si="14"/>
        <v>1250.504221575583</v>
      </c>
    </row>
    <row r="41" spans="5:45">
      <c r="E41" s="35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6"/>
        <v>2</v>
      </c>
      <c r="I41" s="19">
        <v>2.2000000000000002</v>
      </c>
      <c r="J41" s="36">
        <f>'Flow Rate Calculations'!$B$7</f>
        <v>4.0831050228310497</v>
      </c>
      <c r="K41" s="36">
        <f t="shared" si="15"/>
        <v>1.0741261942924094</v>
      </c>
      <c r="L41" s="37">
        <f>$I41*$K41/'Calculation Constants'!$B$7</f>
        <v>2091219.139330355</v>
      </c>
      <c r="M41" s="37" t="str">
        <f t="shared" si="1"/>
        <v>Greater Dynamic Pressures</v>
      </c>
      <c r="N41" s="23">
        <f t="shared" si="16"/>
        <v>240.07507680613855</v>
      </c>
      <c r="O41" s="56">
        <f t="shared" si="2"/>
        <v>238.05267778990503</v>
      </c>
      <c r="P41" s="65">
        <f>MAX(I41*1000/'Calculation Constants'!$B$14,O41*10*I41*1000/2/('Calculation Constants'!$B$12*1000*'Calculation Constants'!$B$13))</f>
        <v>17.457196371259702</v>
      </c>
      <c r="Q41" s="67">
        <f t="shared" si="3"/>
        <v>1879259.6631671994</v>
      </c>
      <c r="R41" s="27">
        <f>(1/(2*LOG(3.7*$I41/'Calculation Constants'!$B$2*1000)))^2</f>
        <v>8.4679866037394684E-3</v>
      </c>
      <c r="S41" s="19">
        <f t="shared" si="17"/>
        <v>0.45268811177167712</v>
      </c>
      <c r="T41" s="19">
        <f>IF($H41&gt;0,'Calculation Constants'!$B$9*Hydraulics!$K41^2/2/9.81/MAX($F$4:$F$253)*$H41,"")</f>
        <v>3.5282785359788842E-2</v>
      </c>
      <c r="U41" s="19">
        <f t="shared" si="18"/>
        <v>0.48797089713146596</v>
      </c>
      <c r="V41" s="19">
        <f t="shared" si="4"/>
        <v>0</v>
      </c>
      <c r="W41" s="19">
        <f t="shared" si="5"/>
        <v>240.07507680613855</v>
      </c>
      <c r="X41" s="23">
        <f t="shared" si="6"/>
        <v>1260.9630768061386</v>
      </c>
      <c r="Y41" s="22">
        <f>(1/(2*LOG(3.7*$I41/'Calculation Constants'!$B$3*1000)))^2</f>
        <v>9.4904462912918219E-3</v>
      </c>
      <c r="Z41" s="19">
        <f t="shared" si="7"/>
        <v>0.50734754464280807</v>
      </c>
      <c r="AA41" s="19">
        <f>IF($H41&gt;0,'Calculation Constants'!$B$9*Hydraulics!$K41^2/2/9.81/MAX($F$4:$F$253)*$H41,"")</f>
        <v>3.5282785359788842E-2</v>
      </c>
      <c r="AB41" s="19">
        <f t="shared" si="27"/>
        <v>0.54263033000259686</v>
      </c>
      <c r="AC41" s="19">
        <f t="shared" si="8"/>
        <v>0</v>
      </c>
      <c r="AD41" s="19">
        <f t="shared" si="20"/>
        <v>238.05267778990503</v>
      </c>
      <c r="AE41" s="23">
        <f t="shared" si="9"/>
        <v>1258.9406777899051</v>
      </c>
      <c r="AF41" s="27">
        <f>(1/(2*LOG(3.7*$I41/'Calculation Constants'!$B$4*1000)))^2</f>
        <v>1.1152845500629007E-2</v>
      </c>
      <c r="AG41" s="19">
        <f t="shared" si="10"/>
        <v>0.59621735446906032</v>
      </c>
      <c r="AH41" s="19">
        <f>IF($H41&gt;0,'Calculation Constants'!$B$9*Hydraulics!$K41^2/2/9.81/MAX($F$4:$F$253)*$H41,"")</f>
        <v>3.5282785359788842E-2</v>
      </c>
      <c r="AI41" s="19">
        <f t="shared" si="21"/>
        <v>0.63150013982884912</v>
      </c>
      <c r="AJ41" s="19">
        <f t="shared" si="11"/>
        <v>0</v>
      </c>
      <c r="AK41" s="19">
        <f t="shared" si="22"/>
        <v>234.76449482633222</v>
      </c>
      <c r="AL41" s="23">
        <f t="shared" si="12"/>
        <v>1255.6524948263323</v>
      </c>
      <c r="AM41" s="22">
        <f>(1/(2*LOG(3.7*($I41-0.008)/'Calculation Constants'!$B$5*1000)))^2</f>
        <v>1.4104604303736145E-2</v>
      </c>
      <c r="AN41" s="19">
        <f t="shared" si="23"/>
        <v>0.75676661531854661</v>
      </c>
      <c r="AO41" s="19">
        <f>IF($H41&gt;0,'Calculation Constants'!$B$9*Hydraulics!$K41^2/2/9.81/MAX($F$4:$F$253)*$H41,"")</f>
        <v>3.5282785359788842E-2</v>
      </c>
      <c r="AP41" s="19">
        <f t="shared" si="24"/>
        <v>0.7920494006783354</v>
      </c>
      <c r="AQ41" s="19">
        <f t="shared" si="13"/>
        <v>0</v>
      </c>
      <c r="AR41" s="19">
        <f t="shared" si="25"/>
        <v>228.82417217490467</v>
      </c>
      <c r="AS41" s="23">
        <f t="shared" si="14"/>
        <v>1249.7121721749047</v>
      </c>
    </row>
    <row r="42" spans="5:45">
      <c r="E42" s="35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6"/>
        <v>2</v>
      </c>
      <c r="I42" s="19">
        <v>2.2000000000000002</v>
      </c>
      <c r="J42" s="36">
        <f>'Flow Rate Calculations'!$B$7</f>
        <v>4.0831050228310497</v>
      </c>
      <c r="K42" s="36">
        <f t="shared" si="15"/>
        <v>1.0741261942924094</v>
      </c>
      <c r="L42" s="37">
        <f>$I42*$K42/'Calculation Constants'!$B$7</f>
        <v>2091219.139330355</v>
      </c>
      <c r="M42" s="37" t="str">
        <f t="shared" si="1"/>
        <v>Greater Dynamic Pressures</v>
      </c>
      <c r="N42" s="23">
        <f t="shared" si="16"/>
        <v>236.82710590900717</v>
      </c>
      <c r="O42" s="56">
        <f t="shared" si="2"/>
        <v>234.75004745990248</v>
      </c>
      <c r="P42" s="65">
        <f>MAX(I42*1000/'Calculation Constants'!$B$14,O42*10*I42*1000/2/('Calculation Constants'!$B$12*1000*'Calculation Constants'!$B$13))</f>
        <v>17.215003480392848</v>
      </c>
      <c r="Q42" s="67">
        <f t="shared" si="3"/>
        <v>1853393.3478217644</v>
      </c>
      <c r="R42" s="27">
        <f>(1/(2*LOG(3.7*$I42/'Calculation Constants'!$B$2*1000)))^2</f>
        <v>8.4679866037394684E-3</v>
      </c>
      <c r="S42" s="19">
        <f t="shared" si="17"/>
        <v>0.45268811177167712</v>
      </c>
      <c r="T42" s="19">
        <f>IF($H42&gt;0,'Calculation Constants'!$B$9*Hydraulics!$K42^2/2/9.81/MAX($F$4:$F$253)*$H42,"")</f>
        <v>3.5282785359788842E-2</v>
      </c>
      <c r="U42" s="19">
        <f t="shared" si="18"/>
        <v>0.48797089713146596</v>
      </c>
      <c r="V42" s="19">
        <f t="shared" si="4"/>
        <v>0</v>
      </c>
      <c r="W42" s="19">
        <f t="shared" si="5"/>
        <v>236.82710590900717</v>
      </c>
      <c r="X42" s="23">
        <f t="shared" si="6"/>
        <v>1260.4751059090072</v>
      </c>
      <c r="Y42" s="22">
        <f>(1/(2*LOG(3.7*$I42/'Calculation Constants'!$B$3*1000)))^2</f>
        <v>9.4904462912918219E-3</v>
      </c>
      <c r="Z42" s="19">
        <f t="shared" si="7"/>
        <v>0.50734754464280807</v>
      </c>
      <c r="AA42" s="19">
        <f>IF($H42&gt;0,'Calculation Constants'!$B$9*Hydraulics!$K42^2/2/9.81/MAX($F$4:$F$253)*$H42,"")</f>
        <v>3.5282785359788842E-2</v>
      </c>
      <c r="AB42" s="19">
        <f t="shared" si="27"/>
        <v>0.54263033000259686</v>
      </c>
      <c r="AC42" s="19">
        <f t="shared" si="8"/>
        <v>0</v>
      </c>
      <c r="AD42" s="19">
        <f t="shared" si="20"/>
        <v>234.75004745990248</v>
      </c>
      <c r="AE42" s="23">
        <f t="shared" si="9"/>
        <v>1258.3980474599025</v>
      </c>
      <c r="AF42" s="27">
        <f>(1/(2*LOG(3.7*$I42/'Calculation Constants'!$B$4*1000)))^2</f>
        <v>1.1152845500629007E-2</v>
      </c>
      <c r="AG42" s="19">
        <f t="shared" si="10"/>
        <v>0.59621735446906032</v>
      </c>
      <c r="AH42" s="19">
        <f>IF($H42&gt;0,'Calculation Constants'!$B$9*Hydraulics!$K42^2/2/9.81/MAX($F$4:$F$253)*$H42,"")</f>
        <v>3.5282785359788842E-2</v>
      </c>
      <c r="AI42" s="19">
        <f t="shared" si="21"/>
        <v>0.63150013982884912</v>
      </c>
      <c r="AJ42" s="19">
        <f t="shared" si="11"/>
        <v>0</v>
      </c>
      <c r="AK42" s="19">
        <f t="shared" si="22"/>
        <v>231.37299468650338</v>
      </c>
      <c r="AL42" s="23">
        <f t="shared" si="12"/>
        <v>1255.0209946865034</v>
      </c>
      <c r="AM42" s="22">
        <f>(1/(2*LOG(3.7*($I42-0.008)/'Calculation Constants'!$B$5*1000)))^2</f>
        <v>1.4104604303736145E-2</v>
      </c>
      <c r="AN42" s="19">
        <f t="shared" si="23"/>
        <v>0.75676661531854661</v>
      </c>
      <c r="AO42" s="19">
        <f>IF($H42&gt;0,'Calculation Constants'!$B$9*Hydraulics!$K42^2/2/9.81/MAX($F$4:$F$253)*$H42,"")</f>
        <v>3.5282785359788842E-2</v>
      </c>
      <c r="AP42" s="19">
        <f t="shared" si="24"/>
        <v>0.7920494006783354</v>
      </c>
      <c r="AQ42" s="19">
        <f t="shared" si="13"/>
        <v>0</v>
      </c>
      <c r="AR42" s="19">
        <f t="shared" si="25"/>
        <v>225.27212277422643</v>
      </c>
      <c r="AS42" s="23">
        <f t="shared" si="14"/>
        <v>1248.9201227742265</v>
      </c>
    </row>
    <row r="43" spans="5:45">
      <c r="E43" s="35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6"/>
        <v>2</v>
      </c>
      <c r="I43" s="19">
        <v>2.2000000000000002</v>
      </c>
      <c r="J43" s="36">
        <f>'Flow Rate Calculations'!$B$7</f>
        <v>4.0831050228310497</v>
      </c>
      <c r="K43" s="36">
        <f t="shared" si="15"/>
        <v>1.0741261942924094</v>
      </c>
      <c r="L43" s="37">
        <f>$I43*$K43/'Calculation Constants'!$B$7</f>
        <v>2091219.139330355</v>
      </c>
      <c r="M43" s="37" t="str">
        <f t="shared" si="1"/>
        <v>Greater Dynamic Pressures</v>
      </c>
      <c r="N43" s="23">
        <f t="shared" si="16"/>
        <v>232.42113501187578</v>
      </c>
      <c r="O43" s="56">
        <f t="shared" si="2"/>
        <v>230.2894171298999</v>
      </c>
      <c r="P43" s="65">
        <f>MAX(I43*1000/'Calculation Constants'!$B$14,O43*10*I43*1000/2/('Calculation Constants'!$B$12*1000*'Calculation Constants'!$B$13))</f>
        <v>16.887890589525991</v>
      </c>
      <c r="Q43" s="67">
        <f t="shared" si="3"/>
        <v>1818448.3510058585</v>
      </c>
      <c r="R43" s="27">
        <f>(1/(2*LOG(3.7*$I43/'Calculation Constants'!$B$2*1000)))^2</f>
        <v>8.4679866037394684E-3</v>
      </c>
      <c r="S43" s="19">
        <f t="shared" si="17"/>
        <v>0.45268811177167712</v>
      </c>
      <c r="T43" s="19">
        <f>IF($H43&gt;0,'Calculation Constants'!$B$9*Hydraulics!$K43^2/2/9.81/MAX($F$4:$F$253)*$H43,"")</f>
        <v>3.5282785359788842E-2</v>
      </c>
      <c r="U43" s="19">
        <f t="shared" si="18"/>
        <v>0.48797089713146596</v>
      </c>
      <c r="V43" s="19">
        <f t="shared" si="4"/>
        <v>0</v>
      </c>
      <c r="W43" s="19">
        <f t="shared" si="5"/>
        <v>232.42113501187578</v>
      </c>
      <c r="X43" s="23">
        <f t="shared" si="6"/>
        <v>1259.9871350118758</v>
      </c>
      <c r="Y43" s="22">
        <f>(1/(2*LOG(3.7*$I43/'Calculation Constants'!$B$3*1000)))^2</f>
        <v>9.4904462912918219E-3</v>
      </c>
      <c r="Z43" s="19">
        <f t="shared" si="7"/>
        <v>0.50734754464280807</v>
      </c>
      <c r="AA43" s="19">
        <f>IF($H43&gt;0,'Calculation Constants'!$B$9*Hydraulics!$K43^2/2/9.81/MAX($F$4:$F$253)*$H43,"")</f>
        <v>3.5282785359788842E-2</v>
      </c>
      <c r="AB43" s="19">
        <f t="shared" si="27"/>
        <v>0.54263033000259686</v>
      </c>
      <c r="AC43" s="19">
        <f t="shared" si="8"/>
        <v>0</v>
      </c>
      <c r="AD43" s="19">
        <f t="shared" si="20"/>
        <v>230.2894171298999</v>
      </c>
      <c r="AE43" s="23">
        <f t="shared" si="9"/>
        <v>1257.8554171298999</v>
      </c>
      <c r="AF43" s="27">
        <f>(1/(2*LOG(3.7*$I43/'Calculation Constants'!$B$4*1000)))^2</f>
        <v>1.1152845500629007E-2</v>
      </c>
      <c r="AG43" s="19">
        <f t="shared" si="10"/>
        <v>0.59621735446906032</v>
      </c>
      <c r="AH43" s="19">
        <f>IF($H43&gt;0,'Calculation Constants'!$B$9*Hydraulics!$K43^2/2/9.81/MAX($F$4:$F$253)*$H43,"")</f>
        <v>3.5282785359788842E-2</v>
      </c>
      <c r="AI43" s="19">
        <f t="shared" si="21"/>
        <v>0.63150013982884912</v>
      </c>
      <c r="AJ43" s="19">
        <f t="shared" si="11"/>
        <v>0</v>
      </c>
      <c r="AK43" s="19">
        <f t="shared" si="22"/>
        <v>226.82349454667451</v>
      </c>
      <c r="AL43" s="23">
        <f t="shared" si="12"/>
        <v>1254.3894945466745</v>
      </c>
      <c r="AM43" s="22">
        <f>(1/(2*LOG(3.7*($I43-0.008)/'Calculation Constants'!$B$5*1000)))^2</f>
        <v>1.4104604303736145E-2</v>
      </c>
      <c r="AN43" s="19">
        <f t="shared" si="23"/>
        <v>0.75676661531854661</v>
      </c>
      <c r="AO43" s="19">
        <f>IF($H43&gt;0,'Calculation Constants'!$B$9*Hydraulics!$K43^2/2/9.81/MAX($F$4:$F$253)*$H43,"")</f>
        <v>3.5282785359788842E-2</v>
      </c>
      <c r="AP43" s="19">
        <f t="shared" si="24"/>
        <v>0.7920494006783354</v>
      </c>
      <c r="AQ43" s="19">
        <f t="shared" si="13"/>
        <v>0</v>
      </c>
      <c r="AR43" s="19">
        <f t="shared" si="25"/>
        <v>220.56207337354817</v>
      </c>
      <c r="AS43" s="23">
        <f t="shared" si="14"/>
        <v>1248.1280733735482</v>
      </c>
    </row>
    <row r="44" spans="5:45">
      <c r="E44" s="35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6"/>
        <v>2</v>
      </c>
      <c r="I44" s="19">
        <v>2.2000000000000002</v>
      </c>
      <c r="J44" s="36">
        <f>'Flow Rate Calculations'!$B$7</f>
        <v>4.0831050228310497</v>
      </c>
      <c r="K44" s="36">
        <f t="shared" si="15"/>
        <v>1.0741261942924094</v>
      </c>
      <c r="L44" s="37">
        <f>$I44*$K44/'Calculation Constants'!$B$7</f>
        <v>2091219.139330355</v>
      </c>
      <c r="M44" s="37" t="str">
        <f t="shared" si="1"/>
        <v>Greater Dynamic Pressures</v>
      </c>
      <c r="N44" s="23">
        <f t="shared" si="16"/>
        <v>227.12816411474432</v>
      </c>
      <c r="O44" s="56">
        <f t="shared" si="2"/>
        <v>224.94178679989727</v>
      </c>
      <c r="P44" s="65">
        <f>MAX(I44*1000/'Calculation Constants'!$B$14,O44*10*I44*1000/2/('Calculation Constants'!$B$12*1000*'Calculation Constants'!$B$13))</f>
        <v>16.495731031992467</v>
      </c>
      <c r="Q44" s="67">
        <f t="shared" si="3"/>
        <v>1776540.6003906294</v>
      </c>
      <c r="R44" s="27">
        <f>(1/(2*LOG(3.7*$I44/'Calculation Constants'!$B$2*1000)))^2</f>
        <v>8.4679866037394684E-3</v>
      </c>
      <c r="S44" s="19">
        <f t="shared" si="17"/>
        <v>0.45268811177167712</v>
      </c>
      <c r="T44" s="19">
        <f>IF($H44&gt;0,'Calculation Constants'!$B$9*Hydraulics!$K44^2/2/9.81/MAX($F$4:$F$253)*$H44,"")</f>
        <v>3.5282785359788842E-2</v>
      </c>
      <c r="U44" s="19">
        <f t="shared" si="18"/>
        <v>0.48797089713146596</v>
      </c>
      <c r="V44" s="19">
        <f t="shared" si="4"/>
        <v>0</v>
      </c>
      <c r="W44" s="19">
        <f t="shared" si="5"/>
        <v>227.12816411474432</v>
      </c>
      <c r="X44" s="23">
        <f t="shared" si="6"/>
        <v>1259.4991641147444</v>
      </c>
      <c r="Y44" s="22">
        <f>(1/(2*LOG(3.7*$I44/'Calculation Constants'!$B$3*1000)))^2</f>
        <v>9.4904462912918219E-3</v>
      </c>
      <c r="Z44" s="19">
        <f t="shared" si="7"/>
        <v>0.50734754464280807</v>
      </c>
      <c r="AA44" s="19">
        <f>IF($H44&gt;0,'Calculation Constants'!$B$9*Hydraulics!$K44^2/2/9.81/MAX($F$4:$F$253)*$H44,"")</f>
        <v>3.5282785359788842E-2</v>
      </c>
      <c r="AB44" s="19">
        <f t="shared" si="27"/>
        <v>0.54263033000259686</v>
      </c>
      <c r="AC44" s="19">
        <f t="shared" si="8"/>
        <v>0</v>
      </c>
      <c r="AD44" s="19">
        <f t="shared" si="20"/>
        <v>224.94178679989727</v>
      </c>
      <c r="AE44" s="23">
        <f t="shared" si="9"/>
        <v>1257.3127867998974</v>
      </c>
      <c r="AF44" s="27">
        <f>(1/(2*LOG(3.7*$I44/'Calculation Constants'!$B$4*1000)))^2</f>
        <v>1.1152845500629007E-2</v>
      </c>
      <c r="AG44" s="19">
        <f t="shared" si="10"/>
        <v>0.59621735446906032</v>
      </c>
      <c r="AH44" s="19">
        <f>IF($H44&gt;0,'Calculation Constants'!$B$9*Hydraulics!$K44^2/2/9.81/MAX($F$4:$F$253)*$H44,"")</f>
        <v>3.5282785359788842E-2</v>
      </c>
      <c r="AI44" s="19">
        <f t="shared" si="21"/>
        <v>0.63150013982884912</v>
      </c>
      <c r="AJ44" s="19">
        <f t="shared" si="11"/>
        <v>0</v>
      </c>
      <c r="AK44" s="19">
        <f t="shared" si="22"/>
        <v>221.38699440684559</v>
      </c>
      <c r="AL44" s="23">
        <f t="shared" si="12"/>
        <v>1253.7579944068457</v>
      </c>
      <c r="AM44" s="22">
        <f>(1/(2*LOG(3.7*($I44-0.008)/'Calculation Constants'!$B$5*1000)))^2</f>
        <v>1.4104604303736145E-2</v>
      </c>
      <c r="AN44" s="19">
        <f t="shared" si="23"/>
        <v>0.75676661531854661</v>
      </c>
      <c r="AO44" s="19">
        <f>IF($H44&gt;0,'Calculation Constants'!$B$9*Hydraulics!$K44^2/2/9.81/MAX($F$4:$F$253)*$H44,"")</f>
        <v>3.5282785359788842E-2</v>
      </c>
      <c r="AP44" s="19">
        <f t="shared" si="24"/>
        <v>0.7920494006783354</v>
      </c>
      <c r="AQ44" s="19">
        <f t="shared" si="13"/>
        <v>0</v>
      </c>
      <c r="AR44" s="19">
        <f t="shared" si="25"/>
        <v>214.96502397286986</v>
      </c>
      <c r="AS44" s="23">
        <f t="shared" si="14"/>
        <v>1247.33602397287</v>
      </c>
    </row>
    <row r="45" spans="5:45">
      <c r="E45" s="35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6"/>
        <v>2</v>
      </c>
      <c r="I45" s="19">
        <v>2.2000000000000002</v>
      </c>
      <c r="J45" s="36">
        <f>'Flow Rate Calculations'!$B$7</f>
        <v>4.0831050228310497</v>
      </c>
      <c r="K45" s="36">
        <f t="shared" si="15"/>
        <v>1.0741261942924094</v>
      </c>
      <c r="L45" s="37">
        <f>$I45*$K45/'Calculation Constants'!$B$7</f>
        <v>2091219.139330355</v>
      </c>
      <c r="M45" s="37" t="str">
        <f t="shared" si="1"/>
        <v>Greater Dynamic Pressures</v>
      </c>
      <c r="N45" s="23">
        <f t="shared" si="16"/>
        <v>224.02819321761308</v>
      </c>
      <c r="O45" s="56">
        <f t="shared" si="2"/>
        <v>221.78715646989485</v>
      </c>
      <c r="P45" s="65">
        <f>MAX(I45*1000/'Calculation Constants'!$B$14,O45*10*I45*1000/2/('Calculation Constants'!$B$12*1000*'Calculation Constants'!$B$13))</f>
        <v>16.264391474458957</v>
      </c>
      <c r="Q45" s="67">
        <f t="shared" si="3"/>
        <v>1751811.6086859575</v>
      </c>
      <c r="R45" s="27">
        <f>(1/(2*LOG(3.7*$I45/'Calculation Constants'!$B$2*1000)))^2</f>
        <v>8.4679866037394684E-3</v>
      </c>
      <c r="S45" s="19">
        <f t="shared" si="17"/>
        <v>0.45268811177167712</v>
      </c>
      <c r="T45" s="19">
        <f>IF($H45&gt;0,'Calculation Constants'!$B$9*Hydraulics!$K45^2/2/9.81/MAX($F$4:$F$253)*$H45,"")</f>
        <v>3.5282785359788842E-2</v>
      </c>
      <c r="U45" s="19">
        <f t="shared" si="18"/>
        <v>0.48797089713146596</v>
      </c>
      <c r="V45" s="19">
        <f t="shared" si="4"/>
        <v>0</v>
      </c>
      <c r="W45" s="19">
        <f t="shared" si="5"/>
        <v>224.02819321761308</v>
      </c>
      <c r="X45" s="23">
        <f t="shared" si="6"/>
        <v>1259.011193217613</v>
      </c>
      <c r="Y45" s="22">
        <f>(1/(2*LOG(3.7*$I45/'Calculation Constants'!$B$3*1000)))^2</f>
        <v>9.4904462912918219E-3</v>
      </c>
      <c r="Z45" s="19">
        <f t="shared" si="7"/>
        <v>0.50734754464280807</v>
      </c>
      <c r="AA45" s="19">
        <f>IF($H45&gt;0,'Calculation Constants'!$B$9*Hydraulics!$K45^2/2/9.81/MAX($F$4:$F$253)*$H45,"")</f>
        <v>3.5282785359788842E-2</v>
      </c>
      <c r="AB45" s="19">
        <f t="shared" si="27"/>
        <v>0.54263033000259686</v>
      </c>
      <c r="AC45" s="19">
        <f t="shared" si="8"/>
        <v>0</v>
      </c>
      <c r="AD45" s="19">
        <f t="shared" si="20"/>
        <v>221.78715646989485</v>
      </c>
      <c r="AE45" s="23">
        <f t="shared" si="9"/>
        <v>1256.7701564698948</v>
      </c>
      <c r="AF45" s="27">
        <f>(1/(2*LOG(3.7*$I45/'Calculation Constants'!$B$4*1000)))^2</f>
        <v>1.1152845500629007E-2</v>
      </c>
      <c r="AG45" s="19">
        <f t="shared" si="10"/>
        <v>0.59621735446906032</v>
      </c>
      <c r="AH45" s="19">
        <f>IF($H45&gt;0,'Calculation Constants'!$B$9*Hydraulics!$K45^2/2/9.81/MAX($F$4:$F$253)*$H45,"")</f>
        <v>3.5282785359788842E-2</v>
      </c>
      <c r="AI45" s="19">
        <f t="shared" si="21"/>
        <v>0.63150013982884912</v>
      </c>
      <c r="AJ45" s="19">
        <f t="shared" si="11"/>
        <v>0</v>
      </c>
      <c r="AK45" s="19">
        <f t="shared" si="22"/>
        <v>218.14349426701688</v>
      </c>
      <c r="AL45" s="23">
        <f t="shared" si="12"/>
        <v>1253.1264942670168</v>
      </c>
      <c r="AM45" s="22">
        <f>(1/(2*LOG(3.7*($I45-0.008)/'Calculation Constants'!$B$5*1000)))^2</f>
        <v>1.4104604303736145E-2</v>
      </c>
      <c r="AN45" s="19">
        <f t="shared" si="23"/>
        <v>0.75676661531854661</v>
      </c>
      <c r="AO45" s="19">
        <f>IF($H45&gt;0,'Calculation Constants'!$B$9*Hydraulics!$K45^2/2/9.81/MAX($F$4:$F$253)*$H45,"")</f>
        <v>3.5282785359788842E-2</v>
      </c>
      <c r="AP45" s="19">
        <f t="shared" si="24"/>
        <v>0.7920494006783354</v>
      </c>
      <c r="AQ45" s="19">
        <f t="shared" si="13"/>
        <v>0</v>
      </c>
      <c r="AR45" s="19">
        <f t="shared" si="25"/>
        <v>211.56097457219175</v>
      </c>
      <c r="AS45" s="23">
        <f t="shared" si="14"/>
        <v>1246.5439745721917</v>
      </c>
    </row>
    <row r="46" spans="5:45">
      <c r="E46" s="35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6"/>
        <v>2</v>
      </c>
      <c r="I46" s="19">
        <v>2.2000000000000002</v>
      </c>
      <c r="J46" s="36">
        <f>'Flow Rate Calculations'!$B$7</f>
        <v>4.0831050228310497</v>
      </c>
      <c r="K46" s="36">
        <f t="shared" si="15"/>
        <v>1.0741261942924094</v>
      </c>
      <c r="L46" s="37">
        <f>$I46*$K46/'Calculation Constants'!$B$7</f>
        <v>2091219.139330355</v>
      </c>
      <c r="M46" s="37" t="str">
        <f t="shared" si="1"/>
        <v>Greater Dynamic Pressures</v>
      </c>
      <c r="N46" s="23">
        <f t="shared" si="16"/>
        <v>225.31022232048167</v>
      </c>
      <c r="O46" s="56">
        <f t="shared" si="2"/>
        <v>223.01452613989227</v>
      </c>
      <c r="P46" s="65">
        <f>MAX(I46*1000/'Calculation Constants'!$B$14,O46*10*I46*1000/2/('Calculation Constants'!$B$12*1000*'Calculation Constants'!$B$13))</f>
        <v>16.354398583592101</v>
      </c>
      <c r="Q46" s="67">
        <f t="shared" si="3"/>
        <v>1761433.5264816443</v>
      </c>
      <c r="R46" s="27">
        <f>(1/(2*LOG(3.7*$I46/'Calculation Constants'!$B$2*1000)))^2</f>
        <v>8.4679866037394684E-3</v>
      </c>
      <c r="S46" s="19">
        <f t="shared" si="17"/>
        <v>0.45268811177167712</v>
      </c>
      <c r="T46" s="19">
        <f>IF($H46&gt;0,'Calculation Constants'!$B$9*Hydraulics!$K46^2/2/9.81/MAX($F$4:$F$253)*$H46,"")</f>
        <v>3.5282785359788842E-2</v>
      </c>
      <c r="U46" s="19">
        <f t="shared" si="18"/>
        <v>0.48797089713146596</v>
      </c>
      <c r="V46" s="19">
        <f t="shared" si="4"/>
        <v>0</v>
      </c>
      <c r="W46" s="19">
        <f t="shared" si="5"/>
        <v>225.31022232048167</v>
      </c>
      <c r="X46" s="23">
        <f t="shared" si="6"/>
        <v>1258.5232223204816</v>
      </c>
      <c r="Y46" s="22">
        <f>(1/(2*LOG(3.7*$I46/'Calculation Constants'!$B$3*1000)))^2</f>
        <v>9.4904462912918219E-3</v>
      </c>
      <c r="Z46" s="19">
        <f t="shared" si="7"/>
        <v>0.50734754464280807</v>
      </c>
      <c r="AA46" s="19">
        <f>IF($H46&gt;0,'Calculation Constants'!$B$9*Hydraulics!$K46^2/2/9.81/MAX($F$4:$F$253)*$H46,"")</f>
        <v>3.5282785359788842E-2</v>
      </c>
      <c r="AB46" s="19">
        <f t="shared" si="27"/>
        <v>0.54263033000259686</v>
      </c>
      <c r="AC46" s="19">
        <f t="shared" si="8"/>
        <v>0</v>
      </c>
      <c r="AD46" s="19">
        <f t="shared" si="20"/>
        <v>223.01452613989227</v>
      </c>
      <c r="AE46" s="23">
        <f t="shared" si="9"/>
        <v>1256.2275261398922</v>
      </c>
      <c r="AF46" s="27">
        <f>(1/(2*LOG(3.7*$I46/'Calculation Constants'!$B$4*1000)))^2</f>
        <v>1.1152845500629007E-2</v>
      </c>
      <c r="AG46" s="19">
        <f t="shared" si="10"/>
        <v>0.59621735446906032</v>
      </c>
      <c r="AH46" s="19">
        <f>IF($H46&gt;0,'Calculation Constants'!$B$9*Hydraulics!$K46^2/2/9.81/MAX($F$4:$F$253)*$H46,"")</f>
        <v>3.5282785359788842E-2</v>
      </c>
      <c r="AI46" s="19">
        <f t="shared" si="21"/>
        <v>0.63150013982884912</v>
      </c>
      <c r="AJ46" s="19">
        <f t="shared" si="11"/>
        <v>0</v>
      </c>
      <c r="AK46" s="19">
        <f t="shared" si="22"/>
        <v>219.281994127188</v>
      </c>
      <c r="AL46" s="23">
        <f t="shared" si="12"/>
        <v>1252.494994127188</v>
      </c>
      <c r="AM46" s="22">
        <f>(1/(2*LOG(3.7*($I46-0.008)/'Calculation Constants'!$B$5*1000)))^2</f>
        <v>1.4104604303736145E-2</v>
      </c>
      <c r="AN46" s="19">
        <f t="shared" si="23"/>
        <v>0.75676661531854661</v>
      </c>
      <c r="AO46" s="19">
        <f>IF($H46&gt;0,'Calculation Constants'!$B$9*Hydraulics!$K46^2/2/9.81/MAX($F$4:$F$253)*$H46,"")</f>
        <v>3.5282785359788842E-2</v>
      </c>
      <c r="AP46" s="19">
        <f t="shared" si="24"/>
        <v>0.7920494006783354</v>
      </c>
      <c r="AQ46" s="19">
        <f t="shared" si="13"/>
        <v>0</v>
      </c>
      <c r="AR46" s="19">
        <f t="shared" si="25"/>
        <v>212.53892517151348</v>
      </c>
      <c r="AS46" s="23">
        <f t="shared" si="14"/>
        <v>1245.7519251715134</v>
      </c>
    </row>
    <row r="47" spans="5:45">
      <c r="E47" s="35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6"/>
        <v>2</v>
      </c>
      <c r="I47" s="19">
        <v>2.2000000000000002</v>
      </c>
      <c r="J47" s="36">
        <f>'Flow Rate Calculations'!$B$7</f>
        <v>4.0831050228310497</v>
      </c>
      <c r="K47" s="36">
        <f t="shared" si="15"/>
        <v>1.0741261942924094</v>
      </c>
      <c r="L47" s="37">
        <f>$I47*$K47/'Calculation Constants'!$B$7</f>
        <v>2091219.139330355</v>
      </c>
      <c r="M47" s="37" t="str">
        <f t="shared" si="1"/>
        <v>Greater Dynamic Pressures</v>
      </c>
      <c r="N47" s="23">
        <f t="shared" si="16"/>
        <v>226.84725142335014</v>
      </c>
      <c r="O47" s="56">
        <f t="shared" si="2"/>
        <v>224.49689580988957</v>
      </c>
      <c r="P47" s="65">
        <f>MAX(I47*1000/'Calculation Constants'!$B$14,O47*10*I47*1000/2/('Calculation Constants'!$B$12*1000*'Calculation Constants'!$B$13))</f>
        <v>16.463105692725236</v>
      </c>
      <c r="Q47" s="67">
        <f t="shared" si="3"/>
        <v>1773053.4416099561</v>
      </c>
      <c r="R47" s="27">
        <f>(1/(2*LOG(3.7*$I47/'Calculation Constants'!$B$2*1000)))^2</f>
        <v>8.4679866037394684E-3</v>
      </c>
      <c r="S47" s="19">
        <f t="shared" si="17"/>
        <v>0.45268811177167712</v>
      </c>
      <c r="T47" s="19">
        <f>IF($H47&gt;0,'Calculation Constants'!$B$9*Hydraulics!$K47^2/2/9.81/MAX($F$4:$F$253)*$H47,"")</f>
        <v>3.5282785359788842E-2</v>
      </c>
      <c r="U47" s="19">
        <f t="shared" si="18"/>
        <v>0.48797089713146596</v>
      </c>
      <c r="V47" s="19">
        <f t="shared" si="4"/>
        <v>0</v>
      </c>
      <c r="W47" s="19">
        <f t="shared" si="5"/>
        <v>226.84725142335014</v>
      </c>
      <c r="X47" s="23">
        <f t="shared" si="6"/>
        <v>1258.0352514233502</v>
      </c>
      <c r="Y47" s="22">
        <f>(1/(2*LOG(3.7*$I47/'Calculation Constants'!$B$3*1000)))^2</f>
        <v>9.4904462912918219E-3</v>
      </c>
      <c r="Z47" s="19">
        <f t="shared" si="7"/>
        <v>0.50734754464280807</v>
      </c>
      <c r="AA47" s="19">
        <f>IF($H47&gt;0,'Calculation Constants'!$B$9*Hydraulics!$K47^2/2/9.81/MAX($F$4:$F$253)*$H47,"")</f>
        <v>3.5282785359788842E-2</v>
      </c>
      <c r="AB47" s="19">
        <f t="shared" si="27"/>
        <v>0.54263033000259686</v>
      </c>
      <c r="AC47" s="19">
        <f t="shared" si="8"/>
        <v>0</v>
      </c>
      <c r="AD47" s="19">
        <f t="shared" si="20"/>
        <v>224.49689580988957</v>
      </c>
      <c r="AE47" s="23">
        <f t="shared" si="9"/>
        <v>1255.6848958098897</v>
      </c>
      <c r="AF47" s="27">
        <f>(1/(2*LOG(3.7*$I47/'Calculation Constants'!$B$4*1000)))^2</f>
        <v>1.1152845500629007E-2</v>
      </c>
      <c r="AG47" s="19">
        <f t="shared" si="10"/>
        <v>0.59621735446906032</v>
      </c>
      <c r="AH47" s="19">
        <f>IF($H47&gt;0,'Calculation Constants'!$B$9*Hydraulics!$K47^2/2/9.81/MAX($F$4:$F$253)*$H47,"")</f>
        <v>3.5282785359788842E-2</v>
      </c>
      <c r="AI47" s="19">
        <f t="shared" si="21"/>
        <v>0.63150013982884912</v>
      </c>
      <c r="AJ47" s="19">
        <f t="shared" si="11"/>
        <v>0</v>
      </c>
      <c r="AK47" s="19">
        <f t="shared" si="22"/>
        <v>220.675493987359</v>
      </c>
      <c r="AL47" s="23">
        <f t="shared" si="12"/>
        <v>1251.8634939873591</v>
      </c>
      <c r="AM47" s="22">
        <f>(1/(2*LOG(3.7*($I47-0.008)/'Calculation Constants'!$B$5*1000)))^2</f>
        <v>1.4104604303736145E-2</v>
      </c>
      <c r="AN47" s="19">
        <f t="shared" si="23"/>
        <v>0.75676661531854661</v>
      </c>
      <c r="AO47" s="19">
        <f>IF($H47&gt;0,'Calculation Constants'!$B$9*Hydraulics!$K47^2/2/9.81/MAX($F$4:$F$253)*$H47,"")</f>
        <v>3.5282785359788842E-2</v>
      </c>
      <c r="AP47" s="19">
        <f t="shared" si="24"/>
        <v>0.7920494006783354</v>
      </c>
      <c r="AQ47" s="19">
        <f t="shared" si="13"/>
        <v>0</v>
      </c>
      <c r="AR47" s="19">
        <f t="shared" si="25"/>
        <v>213.77187577083509</v>
      </c>
      <c r="AS47" s="23">
        <f t="shared" si="14"/>
        <v>1244.9598757708352</v>
      </c>
    </row>
    <row r="48" spans="5:45">
      <c r="E48" s="35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6"/>
        <v>2</v>
      </c>
      <c r="I48" s="19">
        <v>2.2000000000000002</v>
      </c>
      <c r="J48" s="36">
        <f>'Flow Rate Calculations'!$B$7</f>
        <v>4.0831050228310497</v>
      </c>
      <c r="K48" s="36">
        <f t="shared" si="15"/>
        <v>1.0741261942924094</v>
      </c>
      <c r="L48" s="37">
        <f>$I48*$K48/'Calculation Constants'!$B$7</f>
        <v>2091219.139330355</v>
      </c>
      <c r="M48" s="37" t="str">
        <f t="shared" si="1"/>
        <v>Greater Dynamic Pressures</v>
      </c>
      <c r="N48" s="23">
        <f t="shared" si="16"/>
        <v>228.46728052621893</v>
      </c>
      <c r="O48" s="56">
        <f t="shared" si="2"/>
        <v>226.06226547988717</v>
      </c>
      <c r="P48" s="65">
        <f>MAX(I48*1000/'Calculation Constants'!$B$14,O48*10*I48*1000/2/('Calculation Constants'!$B$12*1000*'Calculation Constants'!$B$13))</f>
        <v>16.577899468525057</v>
      </c>
      <c r="Q48" s="67">
        <f t="shared" si="3"/>
        <v>1785322.7069653417</v>
      </c>
      <c r="R48" s="27">
        <f>(1/(2*LOG(3.7*$I48/'Calculation Constants'!$B$2*1000)))^2</f>
        <v>8.4679866037394684E-3</v>
      </c>
      <c r="S48" s="19">
        <f t="shared" si="17"/>
        <v>0.45268811177167712</v>
      </c>
      <c r="T48" s="19">
        <f>IF($H48&gt;0,'Calculation Constants'!$B$9*Hydraulics!$K48^2/2/9.81/MAX($F$4:$F$253)*$H48,"")</f>
        <v>3.5282785359788842E-2</v>
      </c>
      <c r="U48" s="19">
        <f t="shared" si="18"/>
        <v>0.48797089713146596</v>
      </c>
      <c r="V48" s="19">
        <f t="shared" si="4"/>
        <v>0</v>
      </c>
      <c r="W48" s="19">
        <f t="shared" si="5"/>
        <v>228.46728052621893</v>
      </c>
      <c r="X48" s="23">
        <f t="shared" si="6"/>
        <v>1257.5472805262189</v>
      </c>
      <c r="Y48" s="22">
        <f>(1/(2*LOG(3.7*$I48/'Calculation Constants'!$B$3*1000)))^2</f>
        <v>9.4904462912918219E-3</v>
      </c>
      <c r="Z48" s="19">
        <f t="shared" si="7"/>
        <v>0.50734754464280807</v>
      </c>
      <c r="AA48" s="19">
        <f>IF($H48&gt;0,'Calculation Constants'!$B$9*Hydraulics!$K48^2/2/9.81/MAX($F$4:$F$253)*$H48,"")</f>
        <v>3.5282785359788842E-2</v>
      </c>
      <c r="AB48" s="19">
        <f t="shared" si="27"/>
        <v>0.54263033000259686</v>
      </c>
      <c r="AC48" s="19">
        <f t="shared" si="8"/>
        <v>0</v>
      </c>
      <c r="AD48" s="19">
        <f t="shared" si="20"/>
        <v>226.06226547988717</v>
      </c>
      <c r="AE48" s="23">
        <f t="shared" si="9"/>
        <v>1255.1422654798871</v>
      </c>
      <c r="AF48" s="27">
        <f>(1/(2*LOG(3.7*$I48/'Calculation Constants'!$B$4*1000)))^2</f>
        <v>1.1152845500629007E-2</v>
      </c>
      <c r="AG48" s="19">
        <f t="shared" si="10"/>
        <v>0.59621735446906032</v>
      </c>
      <c r="AH48" s="19">
        <f>IF($H48&gt;0,'Calculation Constants'!$B$9*Hydraulics!$K48^2/2/9.81/MAX($F$4:$F$253)*$H48,"")</f>
        <v>3.5282785359788842E-2</v>
      </c>
      <c r="AI48" s="19">
        <f t="shared" si="21"/>
        <v>0.63150013982884912</v>
      </c>
      <c r="AJ48" s="19">
        <f t="shared" si="11"/>
        <v>0</v>
      </c>
      <c r="AK48" s="19">
        <f t="shared" si="22"/>
        <v>222.15199384753032</v>
      </c>
      <c r="AL48" s="23">
        <f t="shared" si="12"/>
        <v>1251.2319938475302</v>
      </c>
      <c r="AM48" s="22">
        <f>(1/(2*LOG(3.7*($I48-0.008)/'Calculation Constants'!$B$5*1000)))^2</f>
        <v>1.4104604303736145E-2</v>
      </c>
      <c r="AN48" s="19">
        <f t="shared" si="23"/>
        <v>0.75676661531854661</v>
      </c>
      <c r="AO48" s="19">
        <f>IF($H48&gt;0,'Calculation Constants'!$B$9*Hydraulics!$K48^2/2/9.81/MAX($F$4:$F$253)*$H48,"")</f>
        <v>3.5282785359788842E-2</v>
      </c>
      <c r="AP48" s="19">
        <f t="shared" si="24"/>
        <v>0.7920494006783354</v>
      </c>
      <c r="AQ48" s="19">
        <f t="shared" si="13"/>
        <v>0</v>
      </c>
      <c r="AR48" s="19">
        <f t="shared" si="25"/>
        <v>215.08782637015702</v>
      </c>
      <c r="AS48" s="23">
        <f t="shared" si="14"/>
        <v>1244.1678263701569</v>
      </c>
    </row>
    <row r="49" spans="5:45">
      <c r="E49" s="35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6"/>
        <v>2</v>
      </c>
      <c r="I49" s="19">
        <v>2.2000000000000002</v>
      </c>
      <c r="J49" s="36">
        <f>'Flow Rate Calculations'!$B$7</f>
        <v>4.0831050228310497</v>
      </c>
      <c r="K49" s="36">
        <f t="shared" si="15"/>
        <v>1.0741261942924094</v>
      </c>
      <c r="L49" s="37">
        <f>$I49*$K49/'Calculation Constants'!$B$7</f>
        <v>2091219.139330355</v>
      </c>
      <c r="M49" s="37" t="str">
        <f t="shared" si="1"/>
        <v>Greater Dynamic Pressures</v>
      </c>
      <c r="N49" s="23">
        <f t="shared" si="16"/>
        <v>230.73730962908758</v>
      </c>
      <c r="O49" s="56">
        <f t="shared" si="2"/>
        <v>228.27763514988465</v>
      </c>
      <c r="P49" s="65">
        <f>MAX(I49*1000/'Calculation Constants'!$B$14,O49*10*I49*1000/2/('Calculation Constants'!$B$12*1000*'Calculation Constants'!$B$13))</f>
        <v>16.74035991099154</v>
      </c>
      <c r="Q49" s="67">
        <f t="shared" si="3"/>
        <v>1802684.4082691253</v>
      </c>
      <c r="R49" s="27">
        <f>(1/(2*LOG(3.7*$I49/'Calculation Constants'!$B$2*1000)))^2</f>
        <v>8.4679866037394684E-3</v>
      </c>
      <c r="S49" s="19">
        <f t="shared" si="17"/>
        <v>0.45268811177167712</v>
      </c>
      <c r="T49" s="19">
        <f>IF($H49&gt;0,'Calculation Constants'!$B$9*Hydraulics!$K49^2/2/9.81/MAX($F$4:$F$253)*$H49,"")</f>
        <v>3.5282785359788842E-2</v>
      </c>
      <c r="U49" s="19">
        <f t="shared" si="18"/>
        <v>0.48797089713146596</v>
      </c>
      <c r="V49" s="19">
        <f t="shared" si="4"/>
        <v>0</v>
      </c>
      <c r="W49" s="19">
        <f t="shared" si="5"/>
        <v>230.73730962908758</v>
      </c>
      <c r="X49" s="23">
        <f t="shared" si="6"/>
        <v>1257.0593096290875</v>
      </c>
      <c r="Y49" s="22">
        <f>(1/(2*LOG(3.7*$I49/'Calculation Constants'!$B$3*1000)))^2</f>
        <v>9.4904462912918219E-3</v>
      </c>
      <c r="Z49" s="19">
        <f t="shared" si="7"/>
        <v>0.50734754464280807</v>
      </c>
      <c r="AA49" s="19">
        <f>IF($H49&gt;0,'Calculation Constants'!$B$9*Hydraulics!$K49^2/2/9.81/MAX($F$4:$F$253)*$H49,"")</f>
        <v>3.5282785359788842E-2</v>
      </c>
      <c r="AB49" s="19">
        <f t="shared" si="27"/>
        <v>0.54263033000259686</v>
      </c>
      <c r="AC49" s="19">
        <f t="shared" si="8"/>
        <v>0</v>
      </c>
      <c r="AD49" s="19">
        <f t="shared" si="20"/>
        <v>228.27763514988465</v>
      </c>
      <c r="AE49" s="23">
        <f t="shared" si="9"/>
        <v>1254.5996351498845</v>
      </c>
      <c r="AF49" s="27">
        <f>(1/(2*LOG(3.7*$I49/'Calculation Constants'!$B$4*1000)))^2</f>
        <v>1.1152845500629007E-2</v>
      </c>
      <c r="AG49" s="19">
        <f t="shared" si="10"/>
        <v>0.59621735446906032</v>
      </c>
      <c r="AH49" s="19">
        <f>IF($H49&gt;0,'Calculation Constants'!$B$9*Hydraulics!$K49^2/2/9.81/MAX($F$4:$F$253)*$H49,"")</f>
        <v>3.5282785359788842E-2</v>
      </c>
      <c r="AI49" s="19">
        <f t="shared" si="21"/>
        <v>0.63150013982884912</v>
      </c>
      <c r="AJ49" s="19">
        <f t="shared" si="11"/>
        <v>0</v>
      </c>
      <c r="AK49" s="19">
        <f t="shared" si="22"/>
        <v>224.2784937077015</v>
      </c>
      <c r="AL49" s="23">
        <f t="shared" si="12"/>
        <v>1250.6004937077014</v>
      </c>
      <c r="AM49" s="22">
        <f>(1/(2*LOG(3.7*($I49-0.008)/'Calculation Constants'!$B$5*1000)))^2</f>
        <v>1.4104604303736145E-2</v>
      </c>
      <c r="AN49" s="19">
        <f t="shared" si="23"/>
        <v>0.75676661531854661</v>
      </c>
      <c r="AO49" s="19">
        <f>IF($H49&gt;0,'Calculation Constants'!$B$9*Hydraulics!$K49^2/2/9.81/MAX($F$4:$F$253)*$H49,"")</f>
        <v>3.5282785359788842E-2</v>
      </c>
      <c r="AP49" s="19">
        <f t="shared" si="24"/>
        <v>0.7920494006783354</v>
      </c>
      <c r="AQ49" s="19">
        <f t="shared" si="13"/>
        <v>0</v>
      </c>
      <c r="AR49" s="19">
        <f t="shared" si="25"/>
        <v>217.0537769694788</v>
      </c>
      <c r="AS49" s="23">
        <f t="shared" si="14"/>
        <v>1243.3757769694787</v>
      </c>
    </row>
    <row r="50" spans="5:45">
      <c r="E50" s="35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6"/>
        <v>2</v>
      </c>
      <c r="I50" s="19">
        <v>2.2000000000000002</v>
      </c>
      <c r="J50" s="36">
        <f>'Flow Rate Calculations'!$B$7</f>
        <v>4.0831050228310497</v>
      </c>
      <c r="K50" s="36">
        <f t="shared" si="15"/>
        <v>1.0741261942924094</v>
      </c>
      <c r="L50" s="37">
        <f>$I50*$K50/'Calculation Constants'!$B$7</f>
        <v>2091219.139330355</v>
      </c>
      <c r="M50" s="37" t="str">
        <f t="shared" si="1"/>
        <v>Greater Dynamic Pressures</v>
      </c>
      <c r="N50" s="23">
        <f t="shared" si="16"/>
        <v>233.36433873195608</v>
      </c>
      <c r="O50" s="56">
        <f t="shared" si="2"/>
        <v>230.85000481988197</v>
      </c>
      <c r="P50" s="65">
        <f>MAX(I50*1000/'Calculation Constants'!$B$14,O50*10*I50*1000/2/('Calculation Constants'!$B$12*1000*'Calculation Constants'!$B$13))</f>
        <v>16.929000353458015</v>
      </c>
      <c r="Q50" s="67">
        <f t="shared" si="3"/>
        <v>1822840.6275192904</v>
      </c>
      <c r="R50" s="27">
        <f>(1/(2*LOG(3.7*$I50/'Calculation Constants'!$B$2*1000)))^2</f>
        <v>8.4679866037394684E-3</v>
      </c>
      <c r="S50" s="19">
        <f t="shared" si="17"/>
        <v>0.45268811177167712</v>
      </c>
      <c r="T50" s="19">
        <f>IF($H50&gt;0,'Calculation Constants'!$B$9*Hydraulics!$K50^2/2/9.81/MAX($F$4:$F$253)*$H50,"")</f>
        <v>3.5282785359788842E-2</v>
      </c>
      <c r="U50" s="19">
        <f t="shared" si="18"/>
        <v>0.48797089713146596</v>
      </c>
      <c r="V50" s="19">
        <f t="shared" si="4"/>
        <v>0</v>
      </c>
      <c r="W50" s="19">
        <f t="shared" si="5"/>
        <v>233.36433873195608</v>
      </c>
      <c r="X50" s="23">
        <f t="shared" si="6"/>
        <v>1256.5713387319561</v>
      </c>
      <c r="Y50" s="22">
        <f>(1/(2*LOG(3.7*$I50/'Calculation Constants'!$B$3*1000)))^2</f>
        <v>9.4904462912918219E-3</v>
      </c>
      <c r="Z50" s="19">
        <f t="shared" si="7"/>
        <v>0.50734754464280807</v>
      </c>
      <c r="AA50" s="19">
        <f>IF($H50&gt;0,'Calculation Constants'!$B$9*Hydraulics!$K50^2/2/9.81/MAX($F$4:$F$253)*$H50,"")</f>
        <v>3.5282785359788842E-2</v>
      </c>
      <c r="AB50" s="19">
        <f t="shared" si="27"/>
        <v>0.54263033000259686</v>
      </c>
      <c r="AC50" s="19">
        <f t="shared" si="8"/>
        <v>0</v>
      </c>
      <c r="AD50" s="19">
        <f t="shared" si="20"/>
        <v>230.85000481988197</v>
      </c>
      <c r="AE50" s="23">
        <f t="shared" si="9"/>
        <v>1254.057004819882</v>
      </c>
      <c r="AF50" s="27">
        <f>(1/(2*LOG(3.7*$I50/'Calculation Constants'!$B$4*1000)))^2</f>
        <v>1.1152845500629007E-2</v>
      </c>
      <c r="AG50" s="19">
        <f t="shared" si="10"/>
        <v>0.59621735446906032</v>
      </c>
      <c r="AH50" s="19">
        <f>IF($H50&gt;0,'Calculation Constants'!$B$9*Hydraulics!$K50^2/2/9.81/MAX($F$4:$F$253)*$H50,"")</f>
        <v>3.5282785359788842E-2</v>
      </c>
      <c r="AI50" s="19">
        <f t="shared" si="21"/>
        <v>0.63150013982884912</v>
      </c>
      <c r="AJ50" s="19">
        <f t="shared" si="11"/>
        <v>0</v>
      </c>
      <c r="AK50" s="19">
        <f t="shared" si="22"/>
        <v>226.76199356787254</v>
      </c>
      <c r="AL50" s="23">
        <f t="shared" si="12"/>
        <v>1249.9689935678725</v>
      </c>
      <c r="AM50" s="22">
        <f>(1/(2*LOG(3.7*($I50-0.008)/'Calculation Constants'!$B$5*1000)))^2</f>
        <v>1.4104604303736145E-2</v>
      </c>
      <c r="AN50" s="19">
        <f t="shared" si="23"/>
        <v>0.75676661531854661</v>
      </c>
      <c r="AO50" s="19">
        <f>IF($H50&gt;0,'Calculation Constants'!$B$9*Hydraulics!$K50^2/2/9.81/MAX($F$4:$F$253)*$H50,"")</f>
        <v>3.5282785359788842E-2</v>
      </c>
      <c r="AP50" s="19">
        <f t="shared" si="24"/>
        <v>0.7920494006783354</v>
      </c>
      <c r="AQ50" s="19">
        <f t="shared" si="13"/>
        <v>0</v>
      </c>
      <c r="AR50" s="19">
        <f t="shared" si="25"/>
        <v>219.37672756880045</v>
      </c>
      <c r="AS50" s="23">
        <f t="shared" si="14"/>
        <v>1242.5837275688004</v>
      </c>
    </row>
    <row r="51" spans="5:45">
      <c r="E51" s="35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6"/>
        <v>2</v>
      </c>
      <c r="I51" s="19">
        <v>2.2000000000000002</v>
      </c>
      <c r="J51" s="36">
        <f>'Flow Rate Calculations'!$B$7</f>
        <v>4.0831050228310497</v>
      </c>
      <c r="K51" s="36">
        <f t="shared" si="15"/>
        <v>1.0741261942924094</v>
      </c>
      <c r="L51" s="37">
        <f>$I51*$K51/'Calculation Constants'!$B$7</f>
        <v>2091219.139330355</v>
      </c>
      <c r="M51" s="37" t="str">
        <f t="shared" si="1"/>
        <v>Greater Dynamic Pressures</v>
      </c>
      <c r="N51" s="23">
        <f t="shared" si="16"/>
        <v>234.58036783482464</v>
      </c>
      <c r="O51" s="56">
        <f t="shared" si="2"/>
        <v>232.01137448987936</v>
      </c>
      <c r="P51" s="65">
        <f>MAX(I51*1000/'Calculation Constants'!$B$14,O51*10*I51*1000/2/('Calculation Constants'!$B$12*1000*'Calculation Constants'!$B$13))</f>
        <v>17.014167462591157</v>
      </c>
      <c r="Q51" s="67">
        <f t="shared" si="3"/>
        <v>1831939.5775173006</v>
      </c>
      <c r="R51" s="27">
        <f>(1/(2*LOG(3.7*$I51/'Calculation Constants'!$B$2*1000)))^2</f>
        <v>8.4679866037394684E-3</v>
      </c>
      <c r="S51" s="19">
        <f t="shared" si="17"/>
        <v>0.45268811177167712</v>
      </c>
      <c r="T51" s="19">
        <f>IF($H51&gt;0,'Calculation Constants'!$B$9*Hydraulics!$K51^2/2/9.81/MAX($F$4:$F$253)*$H51,"")</f>
        <v>3.5282785359788842E-2</v>
      </c>
      <c r="U51" s="19">
        <f t="shared" si="18"/>
        <v>0.48797089713146596</v>
      </c>
      <c r="V51" s="19">
        <f t="shared" si="4"/>
        <v>0</v>
      </c>
      <c r="W51" s="19">
        <f t="shared" si="5"/>
        <v>234.58036783482464</v>
      </c>
      <c r="X51" s="23">
        <f t="shared" si="6"/>
        <v>1256.0833678348247</v>
      </c>
      <c r="Y51" s="22">
        <f>(1/(2*LOG(3.7*$I51/'Calculation Constants'!$B$3*1000)))^2</f>
        <v>9.4904462912918219E-3</v>
      </c>
      <c r="Z51" s="19">
        <f t="shared" si="7"/>
        <v>0.50734754464280807</v>
      </c>
      <c r="AA51" s="19">
        <f>IF($H51&gt;0,'Calculation Constants'!$B$9*Hydraulics!$K51^2/2/9.81/MAX($F$4:$F$253)*$H51,"")</f>
        <v>3.5282785359788842E-2</v>
      </c>
      <c r="AB51" s="19">
        <f t="shared" si="27"/>
        <v>0.54263033000259686</v>
      </c>
      <c r="AC51" s="19">
        <f t="shared" si="8"/>
        <v>0</v>
      </c>
      <c r="AD51" s="19">
        <f t="shared" si="20"/>
        <v>232.01137448987936</v>
      </c>
      <c r="AE51" s="23">
        <f t="shared" si="9"/>
        <v>1253.5143744898794</v>
      </c>
      <c r="AF51" s="27">
        <f>(1/(2*LOG(3.7*$I51/'Calculation Constants'!$B$4*1000)))^2</f>
        <v>1.1152845500629007E-2</v>
      </c>
      <c r="AG51" s="19">
        <f t="shared" si="10"/>
        <v>0.59621735446906032</v>
      </c>
      <c r="AH51" s="19">
        <f>IF($H51&gt;0,'Calculation Constants'!$B$9*Hydraulics!$K51^2/2/9.81/MAX($F$4:$F$253)*$H51,"")</f>
        <v>3.5282785359788842E-2</v>
      </c>
      <c r="AI51" s="19">
        <f t="shared" si="21"/>
        <v>0.63150013982884912</v>
      </c>
      <c r="AJ51" s="19">
        <f t="shared" si="11"/>
        <v>0</v>
      </c>
      <c r="AK51" s="19">
        <f t="shared" si="22"/>
        <v>227.83449342804363</v>
      </c>
      <c r="AL51" s="23">
        <f t="shared" si="12"/>
        <v>1249.3374934280437</v>
      </c>
      <c r="AM51" s="22">
        <f>(1/(2*LOG(3.7*($I51-0.008)/'Calculation Constants'!$B$5*1000)))^2</f>
        <v>1.4104604303736145E-2</v>
      </c>
      <c r="AN51" s="19">
        <f t="shared" si="23"/>
        <v>0.75676661531854661</v>
      </c>
      <c r="AO51" s="19">
        <f>IF($H51&gt;0,'Calculation Constants'!$B$9*Hydraulics!$K51^2/2/9.81/MAX($F$4:$F$253)*$H51,"")</f>
        <v>3.5282785359788842E-2</v>
      </c>
      <c r="AP51" s="19">
        <f t="shared" si="24"/>
        <v>0.7920494006783354</v>
      </c>
      <c r="AQ51" s="19">
        <f t="shared" si="13"/>
        <v>0</v>
      </c>
      <c r="AR51" s="19">
        <f t="shared" si="25"/>
        <v>220.28867816812215</v>
      </c>
      <c r="AS51" s="23">
        <f t="shared" si="14"/>
        <v>1241.7916781681222</v>
      </c>
    </row>
    <row r="52" spans="5:45">
      <c r="E52" s="35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6"/>
        <v>2</v>
      </c>
      <c r="I52" s="19">
        <v>2.2000000000000002</v>
      </c>
      <c r="J52" s="36">
        <f>'Flow Rate Calculations'!$B$7</f>
        <v>4.0831050228310497</v>
      </c>
      <c r="K52" s="36">
        <f t="shared" si="15"/>
        <v>1.0741261942924094</v>
      </c>
      <c r="L52" s="37">
        <f>$I52*$K52/'Calculation Constants'!$B$7</f>
        <v>2091219.139330355</v>
      </c>
      <c r="M52" s="37" t="str">
        <f t="shared" si="1"/>
        <v>Greater Dynamic Pressures</v>
      </c>
      <c r="N52" s="23">
        <f t="shared" si="16"/>
        <v>235.83039693769331</v>
      </c>
      <c r="O52" s="56">
        <f t="shared" si="2"/>
        <v>233.20674415987685</v>
      </c>
      <c r="P52" s="65">
        <f>MAX(I52*1000/'Calculation Constants'!$B$14,O52*10*I52*1000/2/('Calculation Constants'!$B$12*1000*'Calculation Constants'!$B$13))</f>
        <v>17.101827905057636</v>
      </c>
      <c r="Q52" s="67">
        <f t="shared" si="3"/>
        <v>1841304.1591001046</v>
      </c>
      <c r="R52" s="27">
        <f>(1/(2*LOG(3.7*$I52/'Calculation Constants'!$B$2*1000)))^2</f>
        <v>8.4679866037394684E-3</v>
      </c>
      <c r="S52" s="19">
        <f t="shared" si="17"/>
        <v>0.45268811177167712</v>
      </c>
      <c r="T52" s="19">
        <f>IF($H52&gt;0,'Calculation Constants'!$B$9*Hydraulics!$K52^2/2/9.81/MAX($F$4:$F$253)*$H52,"")</f>
        <v>3.5282785359788842E-2</v>
      </c>
      <c r="U52" s="19">
        <f t="shared" si="18"/>
        <v>0.48797089713146596</v>
      </c>
      <c r="V52" s="19">
        <f t="shared" si="4"/>
        <v>0</v>
      </c>
      <c r="W52" s="19">
        <f t="shared" si="5"/>
        <v>235.83039693769331</v>
      </c>
      <c r="X52" s="23">
        <f t="shared" si="6"/>
        <v>1255.5953969376933</v>
      </c>
      <c r="Y52" s="22">
        <f>(1/(2*LOG(3.7*$I52/'Calculation Constants'!$B$3*1000)))^2</f>
        <v>9.4904462912918219E-3</v>
      </c>
      <c r="Z52" s="19">
        <f t="shared" si="7"/>
        <v>0.50734754464280807</v>
      </c>
      <c r="AA52" s="19">
        <f>IF($H52&gt;0,'Calculation Constants'!$B$9*Hydraulics!$K52^2/2/9.81/MAX($F$4:$F$253)*$H52,"")</f>
        <v>3.5282785359788842E-2</v>
      </c>
      <c r="AB52" s="19">
        <f t="shared" si="27"/>
        <v>0.54263033000259686</v>
      </c>
      <c r="AC52" s="19">
        <f t="shared" si="8"/>
        <v>0</v>
      </c>
      <c r="AD52" s="19">
        <f t="shared" si="20"/>
        <v>233.20674415987685</v>
      </c>
      <c r="AE52" s="23">
        <f t="shared" si="9"/>
        <v>1252.9717441598768</v>
      </c>
      <c r="AF52" s="27">
        <f>(1/(2*LOG(3.7*$I52/'Calculation Constants'!$B$4*1000)))^2</f>
        <v>1.1152845500629007E-2</v>
      </c>
      <c r="AG52" s="19">
        <f t="shared" si="10"/>
        <v>0.59621735446906032</v>
      </c>
      <c r="AH52" s="19">
        <f>IF($H52&gt;0,'Calculation Constants'!$B$9*Hydraulics!$K52^2/2/9.81/MAX($F$4:$F$253)*$H52,"")</f>
        <v>3.5282785359788842E-2</v>
      </c>
      <c r="AI52" s="19">
        <f t="shared" si="21"/>
        <v>0.63150013982884912</v>
      </c>
      <c r="AJ52" s="19">
        <f t="shared" si="11"/>
        <v>0</v>
      </c>
      <c r="AK52" s="19">
        <f t="shared" si="22"/>
        <v>228.94099328821483</v>
      </c>
      <c r="AL52" s="23">
        <f t="shared" si="12"/>
        <v>1248.7059932882148</v>
      </c>
      <c r="AM52" s="22">
        <f>(1/(2*LOG(3.7*($I52-0.008)/'Calculation Constants'!$B$5*1000)))^2</f>
        <v>1.4104604303736145E-2</v>
      </c>
      <c r="AN52" s="19">
        <f t="shared" si="23"/>
        <v>0.75676661531854661</v>
      </c>
      <c r="AO52" s="19">
        <f>IF($H52&gt;0,'Calculation Constants'!$B$9*Hydraulics!$K52^2/2/9.81/MAX($F$4:$F$253)*$H52,"")</f>
        <v>3.5282785359788842E-2</v>
      </c>
      <c r="AP52" s="19">
        <f t="shared" si="24"/>
        <v>0.7920494006783354</v>
      </c>
      <c r="AQ52" s="19">
        <f t="shared" si="13"/>
        <v>0</v>
      </c>
      <c r="AR52" s="19">
        <f t="shared" si="25"/>
        <v>221.23462876744395</v>
      </c>
      <c r="AS52" s="23">
        <f t="shared" si="14"/>
        <v>1240.9996287674439</v>
      </c>
    </row>
    <row r="53" spans="5:45">
      <c r="E53" s="35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6"/>
        <v>2</v>
      </c>
      <c r="I53" s="19">
        <v>2.2000000000000002</v>
      </c>
      <c r="J53" s="36">
        <f>'Flow Rate Calculations'!$B$7</f>
        <v>4.0831050228310497</v>
      </c>
      <c r="K53" s="36">
        <f t="shared" si="15"/>
        <v>1.0741261942924094</v>
      </c>
      <c r="L53" s="37">
        <f>$I53*$K53/'Calculation Constants'!$B$7</f>
        <v>2091219.139330355</v>
      </c>
      <c r="M53" s="37" t="str">
        <f t="shared" si="1"/>
        <v>Greater Dynamic Pressures</v>
      </c>
      <c r="N53" s="23">
        <f t="shared" si="16"/>
        <v>236.61442604056185</v>
      </c>
      <c r="O53" s="56">
        <f t="shared" si="2"/>
        <v>233.93611382987422</v>
      </c>
      <c r="P53" s="65">
        <f>MAX(I53*1000/'Calculation Constants'!$B$14,O53*10*I53*1000/2/('Calculation Constants'!$B$12*1000*'Calculation Constants'!$B$13))</f>
        <v>17.155315014190776</v>
      </c>
      <c r="Q53" s="67">
        <f t="shared" si="3"/>
        <v>1847017.7026448944</v>
      </c>
      <c r="R53" s="27">
        <f>(1/(2*LOG(3.7*$I53/'Calculation Constants'!$B$2*1000)))^2</f>
        <v>8.4679866037394684E-3</v>
      </c>
      <c r="S53" s="19">
        <f t="shared" si="17"/>
        <v>0.45268811177167712</v>
      </c>
      <c r="T53" s="19">
        <f>IF($H53&gt;0,'Calculation Constants'!$B$9*Hydraulics!$K53^2/2/9.81/MAX($F$4:$F$253)*$H53,"")</f>
        <v>3.5282785359788842E-2</v>
      </c>
      <c r="U53" s="19">
        <f t="shared" si="18"/>
        <v>0.48797089713146596</v>
      </c>
      <c r="V53" s="19">
        <f t="shared" si="4"/>
        <v>0</v>
      </c>
      <c r="W53" s="19">
        <f t="shared" si="5"/>
        <v>236.61442604056185</v>
      </c>
      <c r="X53" s="23">
        <f t="shared" si="6"/>
        <v>1255.1074260405619</v>
      </c>
      <c r="Y53" s="22">
        <f>(1/(2*LOG(3.7*$I53/'Calculation Constants'!$B$3*1000)))^2</f>
        <v>9.4904462912918219E-3</v>
      </c>
      <c r="Z53" s="19">
        <f t="shared" si="7"/>
        <v>0.50734754464280807</v>
      </c>
      <c r="AA53" s="19">
        <f>IF($H53&gt;0,'Calculation Constants'!$B$9*Hydraulics!$K53^2/2/9.81/MAX($F$4:$F$253)*$H53,"")</f>
        <v>3.5282785359788842E-2</v>
      </c>
      <c r="AB53" s="19">
        <f t="shared" si="27"/>
        <v>0.54263033000259686</v>
      </c>
      <c r="AC53" s="19">
        <f t="shared" si="8"/>
        <v>0</v>
      </c>
      <c r="AD53" s="19">
        <f t="shared" si="20"/>
        <v>233.93611382987422</v>
      </c>
      <c r="AE53" s="23">
        <f t="shared" si="9"/>
        <v>1252.4291138298743</v>
      </c>
      <c r="AF53" s="27">
        <f>(1/(2*LOG(3.7*$I53/'Calculation Constants'!$B$4*1000)))^2</f>
        <v>1.1152845500629007E-2</v>
      </c>
      <c r="AG53" s="19">
        <f t="shared" si="10"/>
        <v>0.59621735446906032</v>
      </c>
      <c r="AH53" s="19">
        <f>IF($H53&gt;0,'Calculation Constants'!$B$9*Hydraulics!$K53^2/2/9.81/MAX($F$4:$F$253)*$H53,"")</f>
        <v>3.5282785359788842E-2</v>
      </c>
      <c r="AI53" s="19">
        <f t="shared" si="21"/>
        <v>0.63150013982884912</v>
      </c>
      <c r="AJ53" s="19">
        <f t="shared" si="11"/>
        <v>0</v>
      </c>
      <c r="AK53" s="19">
        <f t="shared" si="22"/>
        <v>229.5814931483859</v>
      </c>
      <c r="AL53" s="23">
        <f t="shared" si="12"/>
        <v>1248.074493148386</v>
      </c>
      <c r="AM53" s="22">
        <f>(1/(2*LOG(3.7*($I53-0.008)/'Calculation Constants'!$B$5*1000)))^2</f>
        <v>1.4104604303736145E-2</v>
      </c>
      <c r="AN53" s="19">
        <f t="shared" si="23"/>
        <v>0.75676661531854661</v>
      </c>
      <c r="AO53" s="19">
        <f>IF($H53&gt;0,'Calculation Constants'!$B$9*Hydraulics!$K53^2/2/9.81/MAX($F$4:$F$253)*$H53,"")</f>
        <v>3.5282785359788842E-2</v>
      </c>
      <c r="AP53" s="19">
        <f t="shared" si="24"/>
        <v>0.7920494006783354</v>
      </c>
      <c r="AQ53" s="19">
        <f t="shared" si="13"/>
        <v>0</v>
      </c>
      <c r="AR53" s="19">
        <f t="shared" si="25"/>
        <v>221.71457936676563</v>
      </c>
      <c r="AS53" s="23">
        <f t="shared" si="14"/>
        <v>1240.2075793667657</v>
      </c>
    </row>
    <row r="54" spans="5:45">
      <c r="E54" s="35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6"/>
        <v>2</v>
      </c>
      <c r="I54" s="19">
        <v>2.2000000000000002</v>
      </c>
      <c r="J54" s="36">
        <f>'Flow Rate Calculations'!$B$7</f>
        <v>4.0831050228310497</v>
      </c>
      <c r="K54" s="36">
        <f t="shared" si="15"/>
        <v>1.0741261942924094</v>
      </c>
      <c r="L54" s="37">
        <f>$I54*$K54/'Calculation Constants'!$B$7</f>
        <v>2091219.139330355</v>
      </c>
      <c r="M54" s="37" t="str">
        <f t="shared" si="1"/>
        <v>Greater Dynamic Pressures</v>
      </c>
      <c r="N54" s="23">
        <f t="shared" si="16"/>
        <v>238.17545514343055</v>
      </c>
      <c r="O54" s="56">
        <f t="shared" si="2"/>
        <v>235.44248349987174</v>
      </c>
      <c r="P54" s="65">
        <f>MAX(I54*1000/'Calculation Constants'!$B$14,O54*10*I54*1000/2/('Calculation Constants'!$B$12*1000*'Calculation Constants'!$B$13))</f>
        <v>17.265782123323927</v>
      </c>
      <c r="Q54" s="67">
        <f t="shared" si="3"/>
        <v>1858817.0103218013</v>
      </c>
      <c r="R54" s="27">
        <f>(1/(2*LOG(3.7*$I54/'Calculation Constants'!$B$2*1000)))^2</f>
        <v>8.4679866037394684E-3</v>
      </c>
      <c r="S54" s="19">
        <f t="shared" si="17"/>
        <v>0.45268811177167712</v>
      </c>
      <c r="T54" s="19">
        <f>IF($H54&gt;0,'Calculation Constants'!$B$9*Hydraulics!$K54^2/2/9.81/MAX($F$4:$F$253)*$H54,"")</f>
        <v>3.5282785359788842E-2</v>
      </c>
      <c r="U54" s="19">
        <f t="shared" si="18"/>
        <v>0.48797089713146596</v>
      </c>
      <c r="V54" s="19">
        <f t="shared" si="4"/>
        <v>0</v>
      </c>
      <c r="W54" s="19">
        <f t="shared" si="5"/>
        <v>238.17545514343055</v>
      </c>
      <c r="X54" s="23">
        <f t="shared" si="6"/>
        <v>1254.6194551434305</v>
      </c>
      <c r="Y54" s="22">
        <f>(1/(2*LOG(3.7*$I54/'Calculation Constants'!$B$3*1000)))^2</f>
        <v>9.4904462912918219E-3</v>
      </c>
      <c r="Z54" s="19">
        <f t="shared" si="7"/>
        <v>0.50734754464280807</v>
      </c>
      <c r="AA54" s="19">
        <f>IF($H54&gt;0,'Calculation Constants'!$B$9*Hydraulics!$K54^2/2/9.81/MAX($F$4:$F$253)*$H54,"")</f>
        <v>3.5282785359788842E-2</v>
      </c>
      <c r="AB54" s="19">
        <f t="shared" si="27"/>
        <v>0.54263033000259686</v>
      </c>
      <c r="AC54" s="19">
        <f t="shared" si="8"/>
        <v>0</v>
      </c>
      <c r="AD54" s="19">
        <f t="shared" si="20"/>
        <v>235.44248349987174</v>
      </c>
      <c r="AE54" s="23">
        <f t="shared" si="9"/>
        <v>1251.8864834998717</v>
      </c>
      <c r="AF54" s="27">
        <f>(1/(2*LOG(3.7*$I54/'Calculation Constants'!$B$4*1000)))^2</f>
        <v>1.1152845500629007E-2</v>
      </c>
      <c r="AG54" s="19">
        <f t="shared" si="10"/>
        <v>0.59621735446906032</v>
      </c>
      <c r="AH54" s="19">
        <f>IF($H54&gt;0,'Calculation Constants'!$B$9*Hydraulics!$K54^2/2/9.81/MAX($F$4:$F$253)*$H54,"")</f>
        <v>3.5282785359788842E-2</v>
      </c>
      <c r="AI54" s="19">
        <f t="shared" si="21"/>
        <v>0.63150013982884912</v>
      </c>
      <c r="AJ54" s="19">
        <f t="shared" si="11"/>
        <v>0</v>
      </c>
      <c r="AK54" s="19">
        <f t="shared" si="22"/>
        <v>230.99899300855714</v>
      </c>
      <c r="AL54" s="23">
        <f t="shared" si="12"/>
        <v>1247.4429930085571</v>
      </c>
      <c r="AM54" s="22">
        <f>(1/(2*LOG(3.7*($I54-0.008)/'Calculation Constants'!$B$5*1000)))^2</f>
        <v>1.4104604303736145E-2</v>
      </c>
      <c r="AN54" s="19">
        <f t="shared" si="23"/>
        <v>0.75676661531854661</v>
      </c>
      <c r="AO54" s="19">
        <f>IF($H54&gt;0,'Calculation Constants'!$B$9*Hydraulics!$K54^2/2/9.81/MAX($F$4:$F$253)*$H54,"")</f>
        <v>3.5282785359788842E-2</v>
      </c>
      <c r="AP54" s="19">
        <f t="shared" si="24"/>
        <v>0.7920494006783354</v>
      </c>
      <c r="AQ54" s="19">
        <f t="shared" si="13"/>
        <v>0</v>
      </c>
      <c r="AR54" s="19">
        <f t="shared" si="25"/>
        <v>222.97152996608747</v>
      </c>
      <c r="AS54" s="23">
        <f t="shared" si="14"/>
        <v>1239.4155299660874</v>
      </c>
    </row>
    <row r="55" spans="5:45">
      <c r="E55" s="35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6"/>
        <v>2</v>
      </c>
      <c r="I55" s="19">
        <v>2.2000000000000002</v>
      </c>
      <c r="J55" s="36">
        <f>'Flow Rate Calculations'!$B$7</f>
        <v>4.0831050228310497</v>
      </c>
      <c r="K55" s="36">
        <f t="shared" si="15"/>
        <v>1.0741261942924094</v>
      </c>
      <c r="L55" s="37">
        <f>$I55*$K55/'Calculation Constants'!$B$7</f>
        <v>2091219.139330355</v>
      </c>
      <c r="M55" s="37" t="str">
        <f t="shared" si="1"/>
        <v>Greater Dynamic Pressures</v>
      </c>
      <c r="N55" s="23">
        <f t="shared" si="16"/>
        <v>240.84348424629911</v>
      </c>
      <c r="O55" s="56">
        <f t="shared" si="2"/>
        <v>238.05585316986912</v>
      </c>
      <c r="P55" s="65">
        <f>MAX(I55*1000/'Calculation Constants'!$B$14,O55*10*I55*1000/2/('Calculation Constants'!$B$12*1000*'Calculation Constants'!$B$13))</f>
        <v>17.45742923245707</v>
      </c>
      <c r="Q55" s="67">
        <f t="shared" si="3"/>
        <v>1879284.5300688932</v>
      </c>
      <c r="R55" s="27">
        <f>(1/(2*LOG(3.7*$I55/'Calculation Constants'!$B$2*1000)))^2</f>
        <v>8.4679866037394684E-3</v>
      </c>
      <c r="S55" s="19">
        <f t="shared" si="17"/>
        <v>0.45268811177167712</v>
      </c>
      <c r="T55" s="19">
        <f>IF($H55&gt;0,'Calculation Constants'!$B$9*Hydraulics!$K55^2/2/9.81/MAX($F$4:$F$253)*$H55,"")</f>
        <v>3.5282785359788842E-2</v>
      </c>
      <c r="U55" s="19">
        <f t="shared" si="18"/>
        <v>0.48797089713146596</v>
      </c>
      <c r="V55" s="19">
        <f t="shared" si="4"/>
        <v>0</v>
      </c>
      <c r="W55" s="19">
        <f t="shared" si="5"/>
        <v>240.84348424629911</v>
      </c>
      <c r="X55" s="23">
        <f t="shared" si="6"/>
        <v>1254.1314842462991</v>
      </c>
      <c r="Y55" s="22">
        <f>(1/(2*LOG(3.7*$I55/'Calculation Constants'!$B$3*1000)))^2</f>
        <v>9.4904462912918219E-3</v>
      </c>
      <c r="Z55" s="19">
        <f t="shared" si="7"/>
        <v>0.50734754464280807</v>
      </c>
      <c r="AA55" s="19">
        <f>IF($H55&gt;0,'Calculation Constants'!$B$9*Hydraulics!$K55^2/2/9.81/MAX($F$4:$F$253)*$H55,"")</f>
        <v>3.5282785359788842E-2</v>
      </c>
      <c r="AB55" s="19">
        <f t="shared" si="27"/>
        <v>0.54263033000259686</v>
      </c>
      <c r="AC55" s="19">
        <f t="shared" si="8"/>
        <v>0</v>
      </c>
      <c r="AD55" s="19">
        <f t="shared" si="20"/>
        <v>238.05585316986912</v>
      </c>
      <c r="AE55" s="23">
        <f t="shared" si="9"/>
        <v>1251.3438531698691</v>
      </c>
      <c r="AF55" s="27">
        <f>(1/(2*LOG(3.7*$I55/'Calculation Constants'!$B$4*1000)))^2</f>
        <v>1.1152845500629007E-2</v>
      </c>
      <c r="AG55" s="19">
        <f t="shared" si="10"/>
        <v>0.59621735446906032</v>
      </c>
      <c r="AH55" s="19">
        <f>IF($H55&gt;0,'Calculation Constants'!$B$9*Hydraulics!$K55^2/2/9.81/MAX($F$4:$F$253)*$H55,"")</f>
        <v>3.5282785359788842E-2</v>
      </c>
      <c r="AI55" s="19">
        <f t="shared" si="21"/>
        <v>0.63150013982884912</v>
      </c>
      <c r="AJ55" s="19">
        <f t="shared" si="11"/>
        <v>0</v>
      </c>
      <c r="AK55" s="19">
        <f t="shared" si="22"/>
        <v>233.52349286872823</v>
      </c>
      <c r="AL55" s="23">
        <f t="shared" si="12"/>
        <v>1246.8114928687282</v>
      </c>
      <c r="AM55" s="22">
        <f>(1/(2*LOG(3.7*($I55-0.008)/'Calculation Constants'!$B$5*1000)))^2</f>
        <v>1.4104604303736145E-2</v>
      </c>
      <c r="AN55" s="19">
        <f t="shared" si="23"/>
        <v>0.75676661531854661</v>
      </c>
      <c r="AO55" s="19">
        <f>IF($H55&gt;0,'Calculation Constants'!$B$9*Hydraulics!$K55^2/2/9.81/MAX($F$4:$F$253)*$H55,"")</f>
        <v>3.5282785359788842E-2</v>
      </c>
      <c r="AP55" s="19">
        <f t="shared" si="24"/>
        <v>0.7920494006783354</v>
      </c>
      <c r="AQ55" s="19">
        <f t="shared" si="13"/>
        <v>0</v>
      </c>
      <c r="AR55" s="19">
        <f t="shared" si="25"/>
        <v>225.33548056540917</v>
      </c>
      <c r="AS55" s="23">
        <f t="shared" si="14"/>
        <v>1238.6234805654092</v>
      </c>
    </row>
    <row r="56" spans="5:45">
      <c r="E56" s="35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6"/>
        <v>2</v>
      </c>
      <c r="I56" s="19">
        <v>2.2000000000000002</v>
      </c>
      <c r="J56" s="36">
        <f>'Flow Rate Calculations'!$B$7</f>
        <v>4.0831050228310497</v>
      </c>
      <c r="K56" s="36">
        <f t="shared" si="15"/>
        <v>1.0741261942924094</v>
      </c>
      <c r="L56" s="37">
        <f>$I56*$K56/'Calculation Constants'!$B$7</f>
        <v>2091219.139330355</v>
      </c>
      <c r="M56" s="37" t="str">
        <f t="shared" si="1"/>
        <v>Greater Dynamic Pressures</v>
      </c>
      <c r="N56" s="23">
        <f t="shared" si="16"/>
        <v>245.80051334916777</v>
      </c>
      <c r="O56" s="56">
        <f t="shared" si="2"/>
        <v>242.95822283986661</v>
      </c>
      <c r="P56" s="65">
        <f>MAX(I56*1000/'Calculation Constants'!$B$14,O56*10*I56*1000/2/('Calculation Constants'!$B$12*1000*'Calculation Constants'!$B$13))</f>
        <v>17.816936341590221</v>
      </c>
      <c r="Q56" s="67">
        <f t="shared" si="3"/>
        <v>1917669.3818509118</v>
      </c>
      <c r="R56" s="27">
        <f>(1/(2*LOG(3.7*$I56/'Calculation Constants'!$B$2*1000)))^2</f>
        <v>8.4679866037394684E-3</v>
      </c>
      <c r="S56" s="19">
        <f t="shared" si="17"/>
        <v>0.45268811177167712</v>
      </c>
      <c r="T56" s="19">
        <f>IF($H56&gt;0,'Calculation Constants'!$B$9*Hydraulics!$K56^2/2/9.81/MAX($F$4:$F$253)*$H56,"")</f>
        <v>3.5282785359788842E-2</v>
      </c>
      <c r="U56" s="19">
        <f t="shared" si="18"/>
        <v>0.48797089713146596</v>
      </c>
      <c r="V56" s="19">
        <f t="shared" si="4"/>
        <v>0</v>
      </c>
      <c r="W56" s="19">
        <f t="shared" si="5"/>
        <v>245.80051334916777</v>
      </c>
      <c r="X56" s="23">
        <f t="shared" si="6"/>
        <v>1253.6435133491677</v>
      </c>
      <c r="Y56" s="22">
        <f>(1/(2*LOG(3.7*$I56/'Calculation Constants'!$B$3*1000)))^2</f>
        <v>9.4904462912918219E-3</v>
      </c>
      <c r="Z56" s="19">
        <f t="shared" si="7"/>
        <v>0.50734754464280807</v>
      </c>
      <c r="AA56" s="19">
        <f>IF($H56&gt;0,'Calculation Constants'!$B$9*Hydraulics!$K56^2/2/9.81/MAX($F$4:$F$253)*$H56,"")</f>
        <v>3.5282785359788842E-2</v>
      </c>
      <c r="AB56" s="19">
        <f t="shared" si="27"/>
        <v>0.54263033000259686</v>
      </c>
      <c r="AC56" s="19">
        <f t="shared" si="8"/>
        <v>0</v>
      </c>
      <c r="AD56" s="19">
        <f t="shared" si="20"/>
        <v>242.95822283986661</v>
      </c>
      <c r="AE56" s="23">
        <f t="shared" si="9"/>
        <v>1250.8012228398666</v>
      </c>
      <c r="AF56" s="27">
        <f>(1/(2*LOG(3.7*$I56/'Calculation Constants'!$B$4*1000)))^2</f>
        <v>1.1152845500629007E-2</v>
      </c>
      <c r="AG56" s="19">
        <f t="shared" si="10"/>
        <v>0.59621735446906032</v>
      </c>
      <c r="AH56" s="19">
        <f>IF($H56&gt;0,'Calculation Constants'!$B$9*Hydraulics!$K56^2/2/9.81/MAX($F$4:$F$253)*$H56,"")</f>
        <v>3.5282785359788842E-2</v>
      </c>
      <c r="AI56" s="19">
        <f t="shared" si="21"/>
        <v>0.63150013982884912</v>
      </c>
      <c r="AJ56" s="19">
        <f t="shared" si="11"/>
        <v>0</v>
      </c>
      <c r="AK56" s="19">
        <f t="shared" si="22"/>
        <v>238.33699272889942</v>
      </c>
      <c r="AL56" s="23">
        <f t="shared" si="12"/>
        <v>1246.1799927288994</v>
      </c>
      <c r="AM56" s="22">
        <f>(1/(2*LOG(3.7*($I56-0.008)/'Calculation Constants'!$B$5*1000)))^2</f>
        <v>1.4104604303736145E-2</v>
      </c>
      <c r="AN56" s="19">
        <f t="shared" si="23"/>
        <v>0.75676661531854661</v>
      </c>
      <c r="AO56" s="19">
        <f>IF($H56&gt;0,'Calculation Constants'!$B$9*Hydraulics!$K56^2/2/9.81/MAX($F$4:$F$253)*$H56,"")</f>
        <v>3.5282785359788842E-2</v>
      </c>
      <c r="AP56" s="19">
        <f t="shared" si="24"/>
        <v>0.7920494006783354</v>
      </c>
      <c r="AQ56" s="19">
        <f t="shared" si="13"/>
        <v>0</v>
      </c>
      <c r="AR56" s="19">
        <f t="shared" si="25"/>
        <v>229.98843116473097</v>
      </c>
      <c r="AS56" s="23">
        <f t="shared" si="14"/>
        <v>1237.8314311647309</v>
      </c>
    </row>
    <row r="57" spans="5:45">
      <c r="E57" s="35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6"/>
        <v>2</v>
      </c>
      <c r="I57" s="19">
        <v>2.2000000000000002</v>
      </c>
      <c r="J57" s="36">
        <f>'Flow Rate Calculations'!$B$7</f>
        <v>4.0831050228310497</v>
      </c>
      <c r="K57" s="36">
        <f t="shared" si="15"/>
        <v>1.0741261942924094</v>
      </c>
      <c r="L57" s="37">
        <f>$I57*$K57/'Calculation Constants'!$B$7</f>
        <v>2091219.139330355</v>
      </c>
      <c r="M57" s="37" t="str">
        <f t="shared" si="1"/>
        <v>Greater Dynamic Pressures</v>
      </c>
      <c r="N57" s="23">
        <f t="shared" si="16"/>
        <v>251.8735424520363</v>
      </c>
      <c r="O57" s="56">
        <f t="shared" si="2"/>
        <v>248.97659250986396</v>
      </c>
      <c r="P57" s="65">
        <f>MAX(I57*1000/'Calculation Constants'!$B$14,O57*10*I57*1000/2/('Calculation Constants'!$B$12*1000*'Calculation Constants'!$B$13))</f>
        <v>18.258283450723358</v>
      </c>
      <c r="Q57" s="67">
        <f t="shared" si="3"/>
        <v>1964774.9202114905</v>
      </c>
      <c r="R57" s="27">
        <f>(1/(2*LOG(3.7*$I57/'Calculation Constants'!$B$2*1000)))^2</f>
        <v>8.4679866037394684E-3</v>
      </c>
      <c r="S57" s="19">
        <f t="shared" si="17"/>
        <v>0.45268811177167712</v>
      </c>
      <c r="T57" s="19">
        <f>IF($H57&gt;0,'Calculation Constants'!$B$9*Hydraulics!$K57^2/2/9.81/MAX($F$4:$F$253)*$H57,"")</f>
        <v>3.5282785359788842E-2</v>
      </c>
      <c r="U57" s="19">
        <f t="shared" si="18"/>
        <v>0.48797089713146596</v>
      </c>
      <c r="V57" s="19">
        <f t="shared" si="4"/>
        <v>0</v>
      </c>
      <c r="W57" s="19">
        <f t="shared" si="5"/>
        <v>251.8735424520363</v>
      </c>
      <c r="X57" s="23">
        <f t="shared" si="6"/>
        <v>1253.1555424520363</v>
      </c>
      <c r="Y57" s="22">
        <f>(1/(2*LOG(3.7*$I57/'Calculation Constants'!$B$3*1000)))^2</f>
        <v>9.4904462912918219E-3</v>
      </c>
      <c r="Z57" s="19">
        <f t="shared" si="7"/>
        <v>0.50734754464280807</v>
      </c>
      <c r="AA57" s="19">
        <f>IF($H57&gt;0,'Calculation Constants'!$B$9*Hydraulics!$K57^2/2/9.81/MAX($F$4:$F$253)*$H57,"")</f>
        <v>3.5282785359788842E-2</v>
      </c>
      <c r="AB57" s="19">
        <f t="shared" si="27"/>
        <v>0.54263033000259686</v>
      </c>
      <c r="AC57" s="19">
        <f t="shared" si="8"/>
        <v>0</v>
      </c>
      <c r="AD57" s="19">
        <f t="shared" si="20"/>
        <v>248.97659250986396</v>
      </c>
      <c r="AE57" s="23">
        <f t="shared" si="9"/>
        <v>1250.258592509864</v>
      </c>
      <c r="AF57" s="27">
        <f>(1/(2*LOG(3.7*$I57/'Calculation Constants'!$B$4*1000)))^2</f>
        <v>1.1152845500629007E-2</v>
      </c>
      <c r="AG57" s="19">
        <f t="shared" si="10"/>
        <v>0.59621735446906032</v>
      </c>
      <c r="AH57" s="19">
        <f>IF($H57&gt;0,'Calculation Constants'!$B$9*Hydraulics!$K57^2/2/9.81/MAX($F$4:$F$253)*$H57,"")</f>
        <v>3.5282785359788842E-2</v>
      </c>
      <c r="AI57" s="19">
        <f t="shared" si="21"/>
        <v>0.63150013982884912</v>
      </c>
      <c r="AJ57" s="19">
        <f t="shared" si="11"/>
        <v>0</v>
      </c>
      <c r="AK57" s="19">
        <f t="shared" si="22"/>
        <v>244.26649258907048</v>
      </c>
      <c r="AL57" s="23">
        <f t="shared" si="12"/>
        <v>1245.5484925890705</v>
      </c>
      <c r="AM57" s="22">
        <f>(1/(2*LOG(3.7*($I57-0.008)/'Calculation Constants'!$B$5*1000)))^2</f>
        <v>1.4104604303736145E-2</v>
      </c>
      <c r="AN57" s="19">
        <f t="shared" si="23"/>
        <v>0.75676661531854661</v>
      </c>
      <c r="AO57" s="19">
        <f>IF($H57&gt;0,'Calculation Constants'!$B$9*Hydraulics!$K57^2/2/9.81/MAX($F$4:$F$253)*$H57,"")</f>
        <v>3.5282785359788842E-2</v>
      </c>
      <c r="AP57" s="19">
        <f t="shared" si="24"/>
        <v>0.7920494006783354</v>
      </c>
      <c r="AQ57" s="19">
        <f t="shared" si="13"/>
        <v>0</v>
      </c>
      <c r="AR57" s="19">
        <f t="shared" si="25"/>
        <v>235.75738176405264</v>
      </c>
      <c r="AS57" s="23">
        <f t="shared" si="14"/>
        <v>1237.0393817640527</v>
      </c>
    </row>
    <row r="58" spans="5:45">
      <c r="E58" s="35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6"/>
        <v>2</v>
      </c>
      <c r="I58" s="19">
        <v>2.2000000000000002</v>
      </c>
      <c r="J58" s="36">
        <f>'Flow Rate Calculations'!$B$7</f>
        <v>4.0831050228310497</v>
      </c>
      <c r="K58" s="36">
        <f t="shared" si="15"/>
        <v>1.0741261942924094</v>
      </c>
      <c r="L58" s="37">
        <f>$I58*$K58/'Calculation Constants'!$B$7</f>
        <v>2091219.139330355</v>
      </c>
      <c r="M58" s="37" t="str">
        <f t="shared" si="1"/>
        <v>Greater Dynamic Pressures</v>
      </c>
      <c r="N58" s="23">
        <f t="shared" si="16"/>
        <v>256.05857155490492</v>
      </c>
      <c r="O58" s="56">
        <f t="shared" si="2"/>
        <v>253.1069621798614</v>
      </c>
      <c r="P58" s="65">
        <f>MAX(I58*1000/'Calculation Constants'!$B$14,O58*10*I58*1000/2/('Calculation Constants'!$B$12*1000*'Calculation Constants'!$B$13))</f>
        <v>18.561177226523171</v>
      </c>
      <c r="Q58" s="67">
        <f t="shared" si="3"/>
        <v>1997092.0395055537</v>
      </c>
      <c r="R58" s="27">
        <f>(1/(2*LOG(3.7*$I58/'Calculation Constants'!$B$2*1000)))^2</f>
        <v>8.4679866037394684E-3</v>
      </c>
      <c r="S58" s="19">
        <f t="shared" si="17"/>
        <v>0.45268811177167712</v>
      </c>
      <c r="T58" s="19">
        <f>IF($H58&gt;0,'Calculation Constants'!$B$9*Hydraulics!$K58^2/2/9.81/MAX($F$4:$F$253)*$H58,"")</f>
        <v>3.5282785359788842E-2</v>
      </c>
      <c r="U58" s="19">
        <f t="shared" si="18"/>
        <v>0.48797089713146596</v>
      </c>
      <c r="V58" s="19">
        <f t="shared" si="4"/>
        <v>0</v>
      </c>
      <c r="W58" s="19">
        <f t="shared" si="5"/>
        <v>256.05857155490492</v>
      </c>
      <c r="X58" s="23">
        <f t="shared" si="6"/>
        <v>1252.667571554905</v>
      </c>
      <c r="Y58" s="22">
        <f>(1/(2*LOG(3.7*$I58/'Calculation Constants'!$B$3*1000)))^2</f>
        <v>9.4904462912918219E-3</v>
      </c>
      <c r="Z58" s="19">
        <f t="shared" si="7"/>
        <v>0.50734754464280807</v>
      </c>
      <c r="AA58" s="19">
        <f>IF($H58&gt;0,'Calculation Constants'!$B$9*Hydraulics!$K58^2/2/9.81/MAX($F$4:$F$253)*$H58,"")</f>
        <v>3.5282785359788842E-2</v>
      </c>
      <c r="AB58" s="19">
        <f t="shared" si="27"/>
        <v>0.54263033000259686</v>
      </c>
      <c r="AC58" s="19">
        <f t="shared" si="8"/>
        <v>0</v>
      </c>
      <c r="AD58" s="19">
        <f t="shared" si="20"/>
        <v>253.1069621798614</v>
      </c>
      <c r="AE58" s="23">
        <f t="shared" si="9"/>
        <v>1249.7159621798614</v>
      </c>
      <c r="AF58" s="27">
        <f>(1/(2*LOG(3.7*$I58/'Calculation Constants'!$B$4*1000)))^2</f>
        <v>1.1152845500629007E-2</v>
      </c>
      <c r="AG58" s="19">
        <f t="shared" si="10"/>
        <v>0.59621735446906032</v>
      </c>
      <c r="AH58" s="19">
        <f>IF($H58&gt;0,'Calculation Constants'!$B$9*Hydraulics!$K58^2/2/9.81/MAX($F$4:$F$253)*$H58,"")</f>
        <v>3.5282785359788842E-2</v>
      </c>
      <c r="AI58" s="19">
        <f t="shared" si="21"/>
        <v>0.63150013982884912</v>
      </c>
      <c r="AJ58" s="19">
        <f t="shared" si="11"/>
        <v>0</v>
      </c>
      <c r="AK58" s="19">
        <f t="shared" si="22"/>
        <v>248.30799244924162</v>
      </c>
      <c r="AL58" s="23">
        <f t="shared" si="12"/>
        <v>1244.9169924492417</v>
      </c>
      <c r="AM58" s="22">
        <f>(1/(2*LOG(3.7*($I58-0.008)/'Calculation Constants'!$B$5*1000)))^2</f>
        <v>1.4104604303736145E-2</v>
      </c>
      <c r="AN58" s="19">
        <f t="shared" si="23"/>
        <v>0.75676661531854661</v>
      </c>
      <c r="AO58" s="19">
        <f>IF($H58&gt;0,'Calculation Constants'!$B$9*Hydraulics!$K58^2/2/9.81/MAX($F$4:$F$253)*$H58,"")</f>
        <v>3.5282785359788842E-2</v>
      </c>
      <c r="AP58" s="19">
        <f t="shared" si="24"/>
        <v>0.7920494006783354</v>
      </c>
      <c r="AQ58" s="19">
        <f t="shared" si="13"/>
        <v>0</v>
      </c>
      <c r="AR58" s="19">
        <f t="shared" si="25"/>
        <v>239.63833236337439</v>
      </c>
      <c r="AS58" s="23">
        <f t="shared" si="14"/>
        <v>1236.2473323633744</v>
      </c>
    </row>
    <row r="59" spans="5:45">
      <c r="E59" s="35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6"/>
        <v>2</v>
      </c>
      <c r="I59" s="19">
        <v>2.2000000000000002</v>
      </c>
      <c r="J59" s="36">
        <f>'Flow Rate Calculations'!$B$7</f>
        <v>4.0831050228310497</v>
      </c>
      <c r="K59" s="36">
        <f t="shared" si="15"/>
        <v>1.0741261942924094</v>
      </c>
      <c r="L59" s="37">
        <f>$I59*$K59/'Calculation Constants'!$B$7</f>
        <v>2091219.139330355</v>
      </c>
      <c r="M59" s="37" t="str">
        <f t="shared" si="1"/>
        <v>Greater Dynamic Pressures</v>
      </c>
      <c r="N59" s="23">
        <f t="shared" si="16"/>
        <v>259.18060065777354</v>
      </c>
      <c r="O59" s="56">
        <f t="shared" si="2"/>
        <v>256.17433184985885</v>
      </c>
      <c r="P59" s="65">
        <f>MAX(I59*1000/'Calculation Constants'!$B$14,O59*10*I59*1000/2/('Calculation Constants'!$B$12*1000*'Calculation Constants'!$B$13))</f>
        <v>18.78611766898965</v>
      </c>
      <c r="Q59" s="67">
        <f t="shared" si="3"/>
        <v>2021086.1057183684</v>
      </c>
      <c r="R59" s="27">
        <f>(1/(2*LOG(3.7*$I59/'Calculation Constants'!$B$2*1000)))^2</f>
        <v>8.4679866037394684E-3</v>
      </c>
      <c r="S59" s="19">
        <f t="shared" si="17"/>
        <v>0.45268811177167712</v>
      </c>
      <c r="T59" s="19">
        <f>IF($H59&gt;0,'Calculation Constants'!$B$9*Hydraulics!$K59^2/2/9.81/MAX($F$4:$F$253)*$H59,"")</f>
        <v>3.5282785359788842E-2</v>
      </c>
      <c r="U59" s="19">
        <f t="shared" si="18"/>
        <v>0.48797089713146596</v>
      </c>
      <c r="V59" s="19">
        <f t="shared" si="4"/>
        <v>0</v>
      </c>
      <c r="W59" s="19">
        <f t="shared" si="5"/>
        <v>259.18060065777354</v>
      </c>
      <c r="X59" s="23">
        <f t="shared" si="6"/>
        <v>1252.1796006577736</v>
      </c>
      <c r="Y59" s="22">
        <f>(1/(2*LOG(3.7*$I59/'Calculation Constants'!$B$3*1000)))^2</f>
        <v>9.4904462912918219E-3</v>
      </c>
      <c r="Z59" s="19">
        <f t="shared" si="7"/>
        <v>0.50734754464280807</v>
      </c>
      <c r="AA59" s="19">
        <f>IF($H59&gt;0,'Calculation Constants'!$B$9*Hydraulics!$K59^2/2/9.81/MAX($F$4:$F$253)*$H59,"")</f>
        <v>3.5282785359788842E-2</v>
      </c>
      <c r="AB59" s="19">
        <f t="shared" si="27"/>
        <v>0.54263033000259686</v>
      </c>
      <c r="AC59" s="19">
        <f t="shared" si="8"/>
        <v>0</v>
      </c>
      <c r="AD59" s="19">
        <f t="shared" si="20"/>
        <v>256.17433184985885</v>
      </c>
      <c r="AE59" s="23">
        <f t="shared" si="9"/>
        <v>1249.1733318498589</v>
      </c>
      <c r="AF59" s="27">
        <f>(1/(2*LOG(3.7*$I59/'Calculation Constants'!$B$4*1000)))^2</f>
        <v>1.1152845500629007E-2</v>
      </c>
      <c r="AG59" s="19">
        <f t="shared" si="10"/>
        <v>0.59621735446906032</v>
      </c>
      <c r="AH59" s="19">
        <f>IF($H59&gt;0,'Calculation Constants'!$B$9*Hydraulics!$K59^2/2/9.81/MAX($F$4:$F$253)*$H59,"")</f>
        <v>3.5282785359788842E-2</v>
      </c>
      <c r="AI59" s="19">
        <f t="shared" si="21"/>
        <v>0.63150013982884912</v>
      </c>
      <c r="AJ59" s="19">
        <f t="shared" si="11"/>
        <v>0</v>
      </c>
      <c r="AK59" s="19">
        <f t="shared" si="22"/>
        <v>251.28649230941278</v>
      </c>
      <c r="AL59" s="23">
        <f t="shared" si="12"/>
        <v>1244.2854923094128</v>
      </c>
      <c r="AM59" s="22">
        <f>(1/(2*LOG(3.7*($I59-0.008)/'Calculation Constants'!$B$5*1000)))^2</f>
        <v>1.4104604303736145E-2</v>
      </c>
      <c r="AN59" s="19">
        <f t="shared" si="23"/>
        <v>0.75676661531854661</v>
      </c>
      <c r="AO59" s="19">
        <f>IF($H59&gt;0,'Calculation Constants'!$B$9*Hydraulics!$K59^2/2/9.81/MAX($F$4:$F$253)*$H59,"")</f>
        <v>3.5282785359788842E-2</v>
      </c>
      <c r="AP59" s="19">
        <f t="shared" si="24"/>
        <v>0.7920494006783354</v>
      </c>
      <c r="AQ59" s="19">
        <f t="shared" si="13"/>
        <v>0</v>
      </c>
      <c r="AR59" s="19">
        <f t="shared" si="25"/>
        <v>242.45628296269615</v>
      </c>
      <c r="AS59" s="23">
        <f t="shared" si="14"/>
        <v>1235.4552829626962</v>
      </c>
    </row>
    <row r="60" spans="5:45">
      <c r="E60" s="35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6"/>
        <v>2</v>
      </c>
      <c r="I60" s="19">
        <v>2.2000000000000002</v>
      </c>
      <c r="J60" s="36">
        <f>'Flow Rate Calculations'!$B$7</f>
        <v>4.0831050228310497</v>
      </c>
      <c r="K60" s="36">
        <f t="shared" si="15"/>
        <v>1.0741261942924094</v>
      </c>
      <c r="L60" s="37">
        <f>$I60*$K60/'Calculation Constants'!$B$7</f>
        <v>2091219.139330355</v>
      </c>
      <c r="M60" s="37" t="str">
        <f t="shared" si="1"/>
        <v>Greater Dynamic Pressures</v>
      </c>
      <c r="N60" s="23">
        <f t="shared" si="16"/>
        <v>258.05262976064216</v>
      </c>
      <c r="O60" s="56">
        <f t="shared" si="2"/>
        <v>254.99170151985629</v>
      </c>
      <c r="P60" s="65">
        <f>MAX(I60*1000/'Calculation Constants'!$B$14,O60*10*I60*1000/2/('Calculation Constants'!$B$12*1000*'Calculation Constants'!$B$13))</f>
        <v>18.699391444789462</v>
      </c>
      <c r="Q60" s="67">
        <f t="shared" si="3"/>
        <v>2011835.7381426343</v>
      </c>
      <c r="R60" s="27">
        <f>(1/(2*LOG(3.7*$I60/'Calculation Constants'!$B$2*1000)))^2</f>
        <v>8.4679866037394684E-3</v>
      </c>
      <c r="S60" s="19">
        <f t="shared" si="17"/>
        <v>0.45268811177167712</v>
      </c>
      <c r="T60" s="19">
        <f>IF($H60&gt;0,'Calculation Constants'!$B$9*Hydraulics!$K60^2/2/9.81/MAX($F$4:$F$253)*$H60,"")</f>
        <v>3.5282785359788842E-2</v>
      </c>
      <c r="U60" s="19">
        <f t="shared" si="18"/>
        <v>0.48797089713146596</v>
      </c>
      <c r="V60" s="19">
        <f t="shared" si="4"/>
        <v>0</v>
      </c>
      <c r="W60" s="19">
        <f t="shared" si="5"/>
        <v>258.05262976064216</v>
      </c>
      <c r="X60" s="23">
        <f t="shared" si="6"/>
        <v>1251.6916297606422</v>
      </c>
      <c r="Y60" s="22">
        <f>(1/(2*LOG(3.7*$I60/'Calculation Constants'!$B$3*1000)))^2</f>
        <v>9.4904462912918219E-3</v>
      </c>
      <c r="Z60" s="19">
        <f t="shared" si="7"/>
        <v>0.50734754464280807</v>
      </c>
      <c r="AA60" s="19">
        <f>IF($H60&gt;0,'Calculation Constants'!$B$9*Hydraulics!$K60^2/2/9.81/MAX($F$4:$F$253)*$H60,"")</f>
        <v>3.5282785359788842E-2</v>
      </c>
      <c r="AB60" s="19">
        <f t="shared" si="27"/>
        <v>0.54263033000259686</v>
      </c>
      <c r="AC60" s="19">
        <f t="shared" si="8"/>
        <v>0</v>
      </c>
      <c r="AD60" s="19">
        <f t="shared" si="20"/>
        <v>254.99170151985629</v>
      </c>
      <c r="AE60" s="23">
        <f t="shared" si="9"/>
        <v>1248.6307015198563</v>
      </c>
      <c r="AF60" s="27">
        <f>(1/(2*LOG(3.7*$I60/'Calculation Constants'!$B$4*1000)))^2</f>
        <v>1.1152845500629007E-2</v>
      </c>
      <c r="AG60" s="19">
        <f t="shared" si="10"/>
        <v>0.59621735446906032</v>
      </c>
      <c r="AH60" s="19">
        <f>IF($H60&gt;0,'Calculation Constants'!$B$9*Hydraulics!$K60^2/2/9.81/MAX($F$4:$F$253)*$H60,"")</f>
        <v>3.5282785359788842E-2</v>
      </c>
      <c r="AI60" s="19">
        <f t="shared" si="21"/>
        <v>0.63150013982884912</v>
      </c>
      <c r="AJ60" s="19">
        <f t="shared" si="11"/>
        <v>0</v>
      </c>
      <c r="AK60" s="19">
        <f t="shared" si="22"/>
        <v>250.01499216958393</v>
      </c>
      <c r="AL60" s="23">
        <f t="shared" si="12"/>
        <v>1243.6539921695839</v>
      </c>
      <c r="AM60" s="22">
        <f>(1/(2*LOG(3.7*($I60-0.008)/'Calculation Constants'!$B$5*1000)))^2</f>
        <v>1.4104604303736145E-2</v>
      </c>
      <c r="AN60" s="19">
        <f t="shared" si="23"/>
        <v>0.75676661531854661</v>
      </c>
      <c r="AO60" s="19">
        <f>IF($H60&gt;0,'Calculation Constants'!$B$9*Hydraulics!$K60^2/2/9.81/MAX($F$4:$F$253)*$H60,"")</f>
        <v>3.5282785359788842E-2</v>
      </c>
      <c r="AP60" s="19">
        <f t="shared" si="24"/>
        <v>0.7920494006783354</v>
      </c>
      <c r="AQ60" s="19">
        <f t="shared" si="13"/>
        <v>0</v>
      </c>
      <c r="AR60" s="19">
        <f t="shared" si="25"/>
        <v>241.02423356201791</v>
      </c>
      <c r="AS60" s="23">
        <f t="shared" si="14"/>
        <v>1234.6632335620179</v>
      </c>
    </row>
    <row r="61" spans="5:45">
      <c r="E61" s="35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6"/>
        <v>2</v>
      </c>
      <c r="I61" s="19">
        <v>2.2000000000000002</v>
      </c>
      <c r="J61" s="36">
        <f>'Flow Rate Calculations'!$B$7</f>
        <v>4.0831050228310497</v>
      </c>
      <c r="K61" s="36">
        <f t="shared" si="15"/>
        <v>1.0741261942924094</v>
      </c>
      <c r="L61" s="37">
        <f>$I61*$K61/'Calculation Constants'!$B$7</f>
        <v>2091219.139330355</v>
      </c>
      <c r="M61" s="37" t="str">
        <f t="shared" si="1"/>
        <v>Greater Dynamic Pressures</v>
      </c>
      <c r="N61" s="23">
        <f t="shared" si="16"/>
        <v>256.59265886351079</v>
      </c>
      <c r="O61" s="56">
        <f t="shared" si="2"/>
        <v>253.47707118985375</v>
      </c>
      <c r="P61" s="65">
        <f>MAX(I61*1000/'Calculation Constants'!$B$14,O61*10*I61*1000/2/('Calculation Constants'!$B$12*1000*'Calculation Constants'!$B$13))</f>
        <v>18.588318553922608</v>
      </c>
      <c r="Q61" s="67">
        <f t="shared" si="3"/>
        <v>1999987.429778774</v>
      </c>
      <c r="R61" s="27">
        <f>(1/(2*LOG(3.7*$I61/'Calculation Constants'!$B$2*1000)))^2</f>
        <v>8.4679866037394684E-3</v>
      </c>
      <c r="S61" s="19">
        <f t="shared" si="17"/>
        <v>0.45268811177167712</v>
      </c>
      <c r="T61" s="19">
        <f>IF($H61&gt;0,'Calculation Constants'!$B$9*Hydraulics!$K61^2/2/9.81/MAX($F$4:$F$253)*$H61,"")</f>
        <v>3.5282785359788842E-2</v>
      </c>
      <c r="U61" s="19">
        <f t="shared" si="18"/>
        <v>0.48797089713146596</v>
      </c>
      <c r="V61" s="19">
        <f t="shared" si="4"/>
        <v>0</v>
      </c>
      <c r="W61" s="19">
        <f t="shared" si="5"/>
        <v>256.59265886351079</v>
      </c>
      <c r="X61" s="23">
        <f t="shared" si="6"/>
        <v>1251.2036588635108</v>
      </c>
      <c r="Y61" s="22">
        <f>(1/(2*LOG(3.7*$I61/'Calculation Constants'!$B$3*1000)))^2</f>
        <v>9.4904462912918219E-3</v>
      </c>
      <c r="Z61" s="19">
        <f t="shared" si="7"/>
        <v>0.50734754464280807</v>
      </c>
      <c r="AA61" s="19">
        <f>IF($H61&gt;0,'Calculation Constants'!$B$9*Hydraulics!$K61^2/2/9.81/MAX($F$4:$F$253)*$H61,"")</f>
        <v>3.5282785359788842E-2</v>
      </c>
      <c r="AB61" s="19">
        <f t="shared" si="27"/>
        <v>0.54263033000259686</v>
      </c>
      <c r="AC61" s="19">
        <f t="shared" si="8"/>
        <v>0</v>
      </c>
      <c r="AD61" s="19">
        <f t="shared" si="20"/>
        <v>253.47707118985375</v>
      </c>
      <c r="AE61" s="23">
        <f t="shared" si="9"/>
        <v>1248.0880711898537</v>
      </c>
      <c r="AF61" s="27">
        <f>(1/(2*LOG(3.7*$I61/'Calculation Constants'!$B$4*1000)))^2</f>
        <v>1.1152845500629007E-2</v>
      </c>
      <c r="AG61" s="19">
        <f t="shared" si="10"/>
        <v>0.59621735446906032</v>
      </c>
      <c r="AH61" s="19">
        <f>IF($H61&gt;0,'Calculation Constants'!$B$9*Hydraulics!$K61^2/2/9.81/MAX($F$4:$F$253)*$H61,"")</f>
        <v>3.5282785359788842E-2</v>
      </c>
      <c r="AI61" s="19">
        <f t="shared" si="21"/>
        <v>0.63150013982884912</v>
      </c>
      <c r="AJ61" s="19">
        <f t="shared" si="11"/>
        <v>0</v>
      </c>
      <c r="AK61" s="19">
        <f t="shared" si="22"/>
        <v>248.4114920297551</v>
      </c>
      <c r="AL61" s="23">
        <f t="shared" si="12"/>
        <v>1243.0224920297551</v>
      </c>
      <c r="AM61" s="22">
        <f>(1/(2*LOG(3.7*($I61-0.008)/'Calculation Constants'!$B$5*1000)))^2</f>
        <v>1.4104604303736145E-2</v>
      </c>
      <c r="AN61" s="19">
        <f t="shared" si="23"/>
        <v>0.75676661531854661</v>
      </c>
      <c r="AO61" s="19">
        <f>IF($H61&gt;0,'Calculation Constants'!$B$9*Hydraulics!$K61^2/2/9.81/MAX($F$4:$F$253)*$H61,"")</f>
        <v>3.5282785359788842E-2</v>
      </c>
      <c r="AP61" s="19">
        <f t="shared" si="24"/>
        <v>0.7920494006783354</v>
      </c>
      <c r="AQ61" s="19">
        <f t="shared" si="13"/>
        <v>0</v>
      </c>
      <c r="AR61" s="19">
        <f t="shared" si="25"/>
        <v>239.26018416133968</v>
      </c>
      <c r="AS61" s="23">
        <f t="shared" si="14"/>
        <v>1233.8711841613397</v>
      </c>
    </row>
    <row r="62" spans="5:45">
      <c r="E62" s="35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6"/>
        <v>2</v>
      </c>
      <c r="I62" s="19">
        <v>2.2000000000000002</v>
      </c>
      <c r="J62" s="36">
        <f>'Flow Rate Calculations'!$B$7</f>
        <v>4.0831050228310497</v>
      </c>
      <c r="K62" s="36">
        <f t="shared" si="15"/>
        <v>1.0741261942924094</v>
      </c>
      <c r="L62" s="37">
        <f>$I62*$K62/'Calculation Constants'!$B$7</f>
        <v>2091219.139330355</v>
      </c>
      <c r="M62" s="37" t="str">
        <f t="shared" si="1"/>
        <v>Greater Dynamic Pressures</v>
      </c>
      <c r="N62" s="23">
        <f t="shared" si="16"/>
        <v>254.96468796637942</v>
      </c>
      <c r="O62" s="56">
        <f t="shared" si="2"/>
        <v>251.79444085985119</v>
      </c>
      <c r="P62" s="65">
        <f>MAX(I62*1000/'Calculation Constants'!$B$14,O62*10*I62*1000/2/('Calculation Constants'!$B$12*1000*'Calculation Constants'!$B$13))</f>
        <v>18.464925663055755</v>
      </c>
      <c r="Q62" s="67">
        <f t="shared" si="3"/>
        <v>1986823.5019406122</v>
      </c>
      <c r="R62" s="27">
        <f>(1/(2*LOG(3.7*$I62/'Calculation Constants'!$B$2*1000)))^2</f>
        <v>8.4679866037394684E-3</v>
      </c>
      <c r="S62" s="19">
        <f t="shared" si="17"/>
        <v>0.45268811177167712</v>
      </c>
      <c r="T62" s="19">
        <f>IF($H62&gt;0,'Calculation Constants'!$B$9*Hydraulics!$K62^2/2/9.81/MAX($F$4:$F$253)*$H62,"")</f>
        <v>3.5282785359788842E-2</v>
      </c>
      <c r="U62" s="19">
        <f t="shared" si="18"/>
        <v>0.48797089713146596</v>
      </c>
      <c r="V62" s="19">
        <f t="shared" si="4"/>
        <v>0</v>
      </c>
      <c r="W62" s="19">
        <f t="shared" si="5"/>
        <v>254.96468796637942</v>
      </c>
      <c r="X62" s="23">
        <f t="shared" si="6"/>
        <v>1250.7156879663794</v>
      </c>
      <c r="Y62" s="22">
        <f>(1/(2*LOG(3.7*$I62/'Calculation Constants'!$B$3*1000)))^2</f>
        <v>9.4904462912918219E-3</v>
      </c>
      <c r="Z62" s="19">
        <f t="shared" si="7"/>
        <v>0.50734754464280807</v>
      </c>
      <c r="AA62" s="19">
        <f>IF($H62&gt;0,'Calculation Constants'!$B$9*Hydraulics!$K62^2/2/9.81/MAX($F$4:$F$253)*$H62,"")</f>
        <v>3.5282785359788842E-2</v>
      </c>
      <c r="AB62" s="19">
        <f t="shared" si="27"/>
        <v>0.54263033000259686</v>
      </c>
      <c r="AC62" s="19">
        <f t="shared" si="8"/>
        <v>0</v>
      </c>
      <c r="AD62" s="19">
        <f t="shared" si="20"/>
        <v>251.79444085985119</v>
      </c>
      <c r="AE62" s="23">
        <f t="shared" si="9"/>
        <v>1247.5454408598512</v>
      </c>
      <c r="AF62" s="27">
        <f>(1/(2*LOG(3.7*$I62/'Calculation Constants'!$B$4*1000)))^2</f>
        <v>1.1152845500629007E-2</v>
      </c>
      <c r="AG62" s="19">
        <f t="shared" si="10"/>
        <v>0.59621735446906032</v>
      </c>
      <c r="AH62" s="19">
        <f>IF($H62&gt;0,'Calculation Constants'!$B$9*Hydraulics!$K62^2/2/9.81/MAX($F$4:$F$253)*$H62,"")</f>
        <v>3.5282785359788842E-2</v>
      </c>
      <c r="AI62" s="19">
        <f t="shared" si="21"/>
        <v>0.63150013982884912</v>
      </c>
      <c r="AJ62" s="19">
        <f t="shared" si="11"/>
        <v>0</v>
      </c>
      <c r="AK62" s="19">
        <f t="shared" si="22"/>
        <v>246.63999188992625</v>
      </c>
      <c r="AL62" s="23">
        <f t="shared" si="12"/>
        <v>1242.3909918899262</v>
      </c>
      <c r="AM62" s="22">
        <f>(1/(2*LOG(3.7*($I62-0.008)/'Calculation Constants'!$B$5*1000)))^2</f>
        <v>1.4104604303736145E-2</v>
      </c>
      <c r="AN62" s="19">
        <f t="shared" si="23"/>
        <v>0.75676661531854661</v>
      </c>
      <c r="AO62" s="19">
        <f>IF($H62&gt;0,'Calculation Constants'!$B$9*Hydraulics!$K62^2/2/9.81/MAX($F$4:$F$253)*$H62,"")</f>
        <v>3.5282785359788842E-2</v>
      </c>
      <c r="AP62" s="19">
        <f t="shared" si="24"/>
        <v>0.7920494006783354</v>
      </c>
      <c r="AQ62" s="19">
        <f t="shared" si="13"/>
        <v>0</v>
      </c>
      <c r="AR62" s="19">
        <f t="shared" si="25"/>
        <v>237.32813476066144</v>
      </c>
      <c r="AS62" s="23">
        <f t="shared" si="14"/>
        <v>1233.0791347606614</v>
      </c>
    </row>
    <row r="63" spans="5:45">
      <c r="E63" s="35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6"/>
        <v>2</v>
      </c>
      <c r="I63" s="19">
        <v>2.2000000000000002</v>
      </c>
      <c r="J63" s="36">
        <f>'Flow Rate Calculations'!$B$7</f>
        <v>4.0831050228310497</v>
      </c>
      <c r="K63" s="36">
        <f t="shared" si="15"/>
        <v>1.0741261942924094</v>
      </c>
      <c r="L63" s="37">
        <f>$I63*$K63/'Calculation Constants'!$B$7</f>
        <v>2091219.139330355</v>
      </c>
      <c r="M63" s="37" t="str">
        <f t="shared" si="1"/>
        <v>Greater Dynamic Pressures</v>
      </c>
      <c r="N63" s="23">
        <f t="shared" si="16"/>
        <v>253.74871706924796</v>
      </c>
      <c r="O63" s="56">
        <f t="shared" si="2"/>
        <v>250.52381052984856</v>
      </c>
      <c r="P63" s="65">
        <f>MAX(I63*1000/'Calculation Constants'!$B$14,O63*10*I63*1000/2/('Calculation Constants'!$B$12*1000*'Calculation Constants'!$B$13))</f>
        <v>18.371746105522227</v>
      </c>
      <c r="Q63" s="67">
        <f t="shared" si="3"/>
        <v>1976881.8287925844</v>
      </c>
      <c r="R63" s="27">
        <f>(1/(2*LOG(3.7*$I63/'Calculation Constants'!$B$2*1000)))^2</f>
        <v>8.4679866037394684E-3</v>
      </c>
      <c r="S63" s="19">
        <f t="shared" si="17"/>
        <v>0.45268811177167712</v>
      </c>
      <c r="T63" s="19">
        <f>IF($H63&gt;0,'Calculation Constants'!$B$9*Hydraulics!$K63^2/2/9.81/MAX($F$4:$F$253)*$H63,"")</f>
        <v>3.5282785359788842E-2</v>
      </c>
      <c r="U63" s="19">
        <f t="shared" si="18"/>
        <v>0.48797089713146596</v>
      </c>
      <c r="V63" s="19">
        <f t="shared" si="4"/>
        <v>0</v>
      </c>
      <c r="W63" s="19">
        <f t="shared" si="5"/>
        <v>253.74871706924796</v>
      </c>
      <c r="X63" s="23">
        <f t="shared" si="6"/>
        <v>1250.227717069248</v>
      </c>
      <c r="Y63" s="22">
        <f>(1/(2*LOG(3.7*$I63/'Calculation Constants'!$B$3*1000)))^2</f>
        <v>9.4904462912918219E-3</v>
      </c>
      <c r="Z63" s="19">
        <f t="shared" si="7"/>
        <v>0.50734754464280807</v>
      </c>
      <c r="AA63" s="19">
        <f>IF($H63&gt;0,'Calculation Constants'!$B$9*Hydraulics!$K63^2/2/9.81/MAX($F$4:$F$253)*$H63,"")</f>
        <v>3.5282785359788842E-2</v>
      </c>
      <c r="AB63" s="19">
        <f t="shared" si="27"/>
        <v>0.54263033000259686</v>
      </c>
      <c r="AC63" s="19">
        <f t="shared" si="8"/>
        <v>0</v>
      </c>
      <c r="AD63" s="19">
        <f t="shared" si="20"/>
        <v>250.52381052984856</v>
      </c>
      <c r="AE63" s="23">
        <f t="shared" si="9"/>
        <v>1247.0028105298486</v>
      </c>
      <c r="AF63" s="27">
        <f>(1/(2*LOG(3.7*$I63/'Calculation Constants'!$B$4*1000)))^2</f>
        <v>1.1152845500629007E-2</v>
      </c>
      <c r="AG63" s="19">
        <f t="shared" si="10"/>
        <v>0.59621735446906032</v>
      </c>
      <c r="AH63" s="19">
        <f>IF($H63&gt;0,'Calculation Constants'!$B$9*Hydraulics!$K63^2/2/9.81/MAX($F$4:$F$253)*$H63,"")</f>
        <v>3.5282785359788842E-2</v>
      </c>
      <c r="AI63" s="19">
        <f t="shared" si="21"/>
        <v>0.63150013982884912</v>
      </c>
      <c r="AJ63" s="19">
        <f t="shared" si="11"/>
        <v>0</v>
      </c>
      <c r="AK63" s="19">
        <f t="shared" si="22"/>
        <v>245.28049175009733</v>
      </c>
      <c r="AL63" s="23">
        <f t="shared" si="12"/>
        <v>1241.7594917500974</v>
      </c>
      <c r="AM63" s="22">
        <f>(1/(2*LOG(3.7*($I63-0.008)/'Calculation Constants'!$B$5*1000)))^2</f>
        <v>1.4104604303736145E-2</v>
      </c>
      <c r="AN63" s="19">
        <f t="shared" si="23"/>
        <v>0.75676661531854661</v>
      </c>
      <c r="AO63" s="19">
        <f>IF($H63&gt;0,'Calculation Constants'!$B$9*Hydraulics!$K63^2/2/9.81/MAX($F$4:$F$253)*$H63,"")</f>
        <v>3.5282785359788842E-2</v>
      </c>
      <c r="AP63" s="19">
        <f t="shared" si="24"/>
        <v>0.7920494006783354</v>
      </c>
      <c r="AQ63" s="19">
        <f t="shared" si="13"/>
        <v>0</v>
      </c>
      <c r="AR63" s="19">
        <f t="shared" si="25"/>
        <v>235.80808535998312</v>
      </c>
      <c r="AS63" s="23">
        <f t="shared" si="14"/>
        <v>1232.2870853599832</v>
      </c>
    </row>
    <row r="64" spans="5:45">
      <c r="E64" s="35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6"/>
        <v>2</v>
      </c>
      <c r="I64" s="19">
        <v>2.2000000000000002</v>
      </c>
      <c r="J64" s="36">
        <f>'Flow Rate Calculations'!$B$7</f>
        <v>4.0831050228310497</v>
      </c>
      <c r="K64" s="36">
        <f t="shared" si="15"/>
        <v>1.0741261942924094</v>
      </c>
      <c r="L64" s="37">
        <f>$I64*$K64/'Calculation Constants'!$B$7</f>
        <v>2091219.139330355</v>
      </c>
      <c r="M64" s="37" t="str">
        <f t="shared" si="1"/>
        <v>Greater Dynamic Pressures</v>
      </c>
      <c r="N64" s="23">
        <f t="shared" si="16"/>
        <v>253.59274617211656</v>
      </c>
      <c r="O64" s="56">
        <f t="shared" si="2"/>
        <v>250.31318019984599</v>
      </c>
      <c r="P64" s="65">
        <f>MAX(I64*1000/'Calculation Constants'!$B$14,O64*10*I64*1000/2/('Calculation Constants'!$B$12*1000*'Calculation Constants'!$B$13))</f>
        <v>18.356299881322041</v>
      </c>
      <c r="Q64" s="67">
        <f t="shared" si="3"/>
        <v>1975233.7309941617</v>
      </c>
      <c r="R64" s="27">
        <f>(1/(2*LOG(3.7*$I64/'Calculation Constants'!$B$2*1000)))^2</f>
        <v>8.4679866037394684E-3</v>
      </c>
      <c r="S64" s="19">
        <f t="shared" si="17"/>
        <v>0.45268811177167712</v>
      </c>
      <c r="T64" s="19">
        <f>IF($H64&gt;0,'Calculation Constants'!$B$9*Hydraulics!$K64^2/2/9.81/MAX($F$4:$F$253)*$H64,"")</f>
        <v>3.5282785359788842E-2</v>
      </c>
      <c r="U64" s="19">
        <f t="shared" si="18"/>
        <v>0.48797089713146596</v>
      </c>
      <c r="V64" s="19">
        <f t="shared" si="4"/>
        <v>0</v>
      </c>
      <c r="W64" s="19">
        <f t="shared" si="5"/>
        <v>253.59274617211656</v>
      </c>
      <c r="X64" s="23">
        <f t="shared" si="6"/>
        <v>1249.7397461721166</v>
      </c>
      <c r="Y64" s="22">
        <f>(1/(2*LOG(3.7*$I64/'Calculation Constants'!$B$3*1000)))^2</f>
        <v>9.4904462912918219E-3</v>
      </c>
      <c r="Z64" s="19">
        <f t="shared" si="7"/>
        <v>0.50734754464280807</v>
      </c>
      <c r="AA64" s="19">
        <f>IF($H64&gt;0,'Calculation Constants'!$B$9*Hydraulics!$K64^2/2/9.81/MAX($F$4:$F$253)*$H64,"")</f>
        <v>3.5282785359788842E-2</v>
      </c>
      <c r="AB64" s="19">
        <f t="shared" si="27"/>
        <v>0.54263033000259686</v>
      </c>
      <c r="AC64" s="19">
        <f t="shared" si="8"/>
        <v>0</v>
      </c>
      <c r="AD64" s="19">
        <f t="shared" si="20"/>
        <v>250.31318019984599</v>
      </c>
      <c r="AE64" s="23">
        <f t="shared" si="9"/>
        <v>1246.460180199846</v>
      </c>
      <c r="AF64" s="27">
        <f>(1/(2*LOG(3.7*$I64/'Calculation Constants'!$B$4*1000)))^2</f>
        <v>1.1152845500629007E-2</v>
      </c>
      <c r="AG64" s="19">
        <f t="shared" si="10"/>
        <v>0.59621735446906032</v>
      </c>
      <c r="AH64" s="19">
        <f>IF($H64&gt;0,'Calculation Constants'!$B$9*Hydraulics!$K64^2/2/9.81/MAX($F$4:$F$253)*$H64,"")</f>
        <v>3.5282785359788842E-2</v>
      </c>
      <c r="AI64" s="19">
        <f t="shared" si="21"/>
        <v>0.63150013982884912</v>
      </c>
      <c r="AJ64" s="19">
        <f t="shared" si="11"/>
        <v>0</v>
      </c>
      <c r="AK64" s="19">
        <f t="shared" si="22"/>
        <v>244.98099161026846</v>
      </c>
      <c r="AL64" s="23">
        <f t="shared" si="12"/>
        <v>1241.1279916102685</v>
      </c>
      <c r="AM64" s="22">
        <f>(1/(2*LOG(3.7*($I64-0.008)/'Calculation Constants'!$B$5*1000)))^2</f>
        <v>1.4104604303736145E-2</v>
      </c>
      <c r="AN64" s="19">
        <f t="shared" si="23"/>
        <v>0.75676661531854661</v>
      </c>
      <c r="AO64" s="19">
        <f>IF($H64&gt;0,'Calculation Constants'!$B$9*Hydraulics!$K64^2/2/9.81/MAX($F$4:$F$253)*$H64,"")</f>
        <v>3.5282785359788842E-2</v>
      </c>
      <c r="AP64" s="19">
        <f t="shared" si="24"/>
        <v>0.7920494006783354</v>
      </c>
      <c r="AQ64" s="19">
        <f t="shared" si="13"/>
        <v>0</v>
      </c>
      <c r="AR64" s="19">
        <f t="shared" si="25"/>
        <v>235.34803595930487</v>
      </c>
      <c r="AS64" s="23">
        <f t="shared" si="14"/>
        <v>1231.4950359593049</v>
      </c>
    </row>
    <row r="65" spans="5:45">
      <c r="E65" s="35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6"/>
        <v>2</v>
      </c>
      <c r="I65" s="19">
        <v>2.2000000000000002</v>
      </c>
      <c r="J65" s="36">
        <f>'Flow Rate Calculations'!$B$7</f>
        <v>4.0831050228310497</v>
      </c>
      <c r="K65" s="36">
        <f t="shared" si="15"/>
        <v>1.0741261942924094</v>
      </c>
      <c r="L65" s="37">
        <f>$I65*$K65/'Calculation Constants'!$B$7</f>
        <v>2091219.139330355</v>
      </c>
      <c r="M65" s="37" t="str">
        <f t="shared" si="1"/>
        <v>Greater Dynamic Pressures</v>
      </c>
      <c r="N65" s="23">
        <f t="shared" si="16"/>
        <v>257.15777527498517</v>
      </c>
      <c r="O65" s="56">
        <f t="shared" si="2"/>
        <v>253.82354986984342</v>
      </c>
      <c r="P65" s="65">
        <f>MAX(I65*1000/'Calculation Constants'!$B$14,O65*10*I65*1000/2/('Calculation Constants'!$B$12*1000*'Calculation Constants'!$B$13))</f>
        <v>18.613726990455184</v>
      </c>
      <c r="Q65" s="67">
        <f t="shared" si="3"/>
        <v>2002697.8923689013</v>
      </c>
      <c r="R65" s="27">
        <f>(1/(2*LOG(3.7*$I65/'Calculation Constants'!$B$2*1000)))^2</f>
        <v>8.4679866037394684E-3</v>
      </c>
      <c r="S65" s="19">
        <f t="shared" si="17"/>
        <v>0.45268811177167712</v>
      </c>
      <c r="T65" s="19">
        <f>IF($H65&gt;0,'Calculation Constants'!$B$9*Hydraulics!$K65^2/2/9.81/MAX($F$4:$F$253)*$H65,"")</f>
        <v>3.5282785359788842E-2</v>
      </c>
      <c r="U65" s="19">
        <f t="shared" si="18"/>
        <v>0.48797089713146596</v>
      </c>
      <c r="V65" s="19">
        <f t="shared" si="4"/>
        <v>0</v>
      </c>
      <c r="W65" s="19">
        <f t="shared" si="5"/>
        <v>257.15777527498517</v>
      </c>
      <c r="X65" s="23">
        <f t="shared" si="6"/>
        <v>1249.2517752749852</v>
      </c>
      <c r="Y65" s="22">
        <f>(1/(2*LOG(3.7*$I65/'Calculation Constants'!$B$3*1000)))^2</f>
        <v>9.4904462912918219E-3</v>
      </c>
      <c r="Z65" s="19">
        <f t="shared" si="7"/>
        <v>0.50734754464280807</v>
      </c>
      <c r="AA65" s="19">
        <f>IF($H65&gt;0,'Calculation Constants'!$B$9*Hydraulics!$K65^2/2/9.81/MAX($F$4:$F$253)*$H65,"")</f>
        <v>3.5282785359788842E-2</v>
      </c>
      <c r="AB65" s="19">
        <f t="shared" si="27"/>
        <v>0.54263033000259686</v>
      </c>
      <c r="AC65" s="19">
        <f t="shared" si="8"/>
        <v>0</v>
      </c>
      <c r="AD65" s="19">
        <f t="shared" si="20"/>
        <v>253.82354986984342</v>
      </c>
      <c r="AE65" s="23">
        <f t="shared" si="9"/>
        <v>1245.9175498698435</v>
      </c>
      <c r="AF65" s="27">
        <f>(1/(2*LOG(3.7*$I65/'Calculation Constants'!$B$4*1000)))^2</f>
        <v>1.1152845500629007E-2</v>
      </c>
      <c r="AG65" s="19">
        <f t="shared" si="10"/>
        <v>0.59621735446906032</v>
      </c>
      <c r="AH65" s="19">
        <f>IF($H65&gt;0,'Calculation Constants'!$B$9*Hydraulics!$K65^2/2/9.81/MAX($F$4:$F$253)*$H65,"")</f>
        <v>3.5282785359788842E-2</v>
      </c>
      <c r="AI65" s="19">
        <f t="shared" si="21"/>
        <v>0.63150013982884912</v>
      </c>
      <c r="AJ65" s="19">
        <f t="shared" si="11"/>
        <v>0</v>
      </c>
      <c r="AK65" s="19">
        <f t="shared" si="22"/>
        <v>248.4024914704396</v>
      </c>
      <c r="AL65" s="23">
        <f t="shared" si="12"/>
        <v>1240.4964914704397</v>
      </c>
      <c r="AM65" s="22">
        <f>(1/(2*LOG(3.7*($I65-0.008)/'Calculation Constants'!$B$5*1000)))^2</f>
        <v>1.4104604303736145E-2</v>
      </c>
      <c r="AN65" s="19">
        <f t="shared" si="23"/>
        <v>0.75676661531854661</v>
      </c>
      <c r="AO65" s="19">
        <f>IF($H65&gt;0,'Calculation Constants'!$B$9*Hydraulics!$K65^2/2/9.81/MAX($F$4:$F$253)*$H65,"")</f>
        <v>3.5282785359788842E-2</v>
      </c>
      <c r="AP65" s="19">
        <f t="shared" si="24"/>
        <v>0.7920494006783354</v>
      </c>
      <c r="AQ65" s="19">
        <f t="shared" si="13"/>
        <v>0</v>
      </c>
      <c r="AR65" s="19">
        <f t="shared" si="25"/>
        <v>238.60898655862661</v>
      </c>
      <c r="AS65" s="23">
        <f t="shared" si="14"/>
        <v>1230.7029865586267</v>
      </c>
    </row>
    <row r="66" spans="5:45">
      <c r="E66" s="35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6"/>
        <v>2</v>
      </c>
      <c r="I66" s="19">
        <v>2.2000000000000002</v>
      </c>
      <c r="J66" s="36">
        <f>'Flow Rate Calculations'!$B$7</f>
        <v>4.0831050228310497</v>
      </c>
      <c r="K66" s="36">
        <f t="shared" si="15"/>
        <v>1.0741261942924094</v>
      </c>
      <c r="L66" s="37">
        <f>$I66*$K66/'Calculation Constants'!$B$7</f>
        <v>2091219.139330355</v>
      </c>
      <c r="M66" s="37" t="str">
        <f t="shared" si="1"/>
        <v>Greater Dynamic Pressures</v>
      </c>
      <c r="N66" s="23">
        <f t="shared" si="16"/>
        <v>263.14080437785378</v>
      </c>
      <c r="O66" s="56">
        <f t="shared" si="2"/>
        <v>259.75191953984086</v>
      </c>
      <c r="P66" s="65">
        <f>MAX(I66*1000/'Calculation Constants'!$B$14,O66*10*I66*1000/2/('Calculation Constants'!$B$12*1000*'Calculation Constants'!$B$13))</f>
        <v>19.048474099588333</v>
      </c>
      <c r="Q66" s="67">
        <f t="shared" si="3"/>
        <v>2049064.9746407138</v>
      </c>
      <c r="R66" s="27">
        <f>(1/(2*LOG(3.7*$I66/'Calculation Constants'!$B$2*1000)))^2</f>
        <v>8.4679866037394684E-3</v>
      </c>
      <c r="S66" s="19">
        <f t="shared" si="17"/>
        <v>0.45268811177167712</v>
      </c>
      <c r="T66" s="19">
        <f>IF($H66&gt;0,'Calculation Constants'!$B$9*Hydraulics!$K66^2/2/9.81/MAX($F$4:$F$253)*$H66,"")</f>
        <v>3.5282785359788842E-2</v>
      </c>
      <c r="U66" s="19">
        <f t="shared" si="18"/>
        <v>0.48797089713146596</v>
      </c>
      <c r="V66" s="19">
        <f t="shared" si="4"/>
        <v>0</v>
      </c>
      <c r="W66" s="19">
        <f t="shared" si="5"/>
        <v>263.14080437785378</v>
      </c>
      <c r="X66" s="23">
        <f t="shared" si="6"/>
        <v>1248.7638043778538</v>
      </c>
      <c r="Y66" s="22">
        <f>(1/(2*LOG(3.7*$I66/'Calculation Constants'!$B$3*1000)))^2</f>
        <v>9.4904462912918219E-3</v>
      </c>
      <c r="Z66" s="19">
        <f t="shared" si="7"/>
        <v>0.50734754464280807</v>
      </c>
      <c r="AA66" s="19">
        <f>IF($H66&gt;0,'Calculation Constants'!$B$9*Hydraulics!$K66^2/2/9.81/MAX($F$4:$F$253)*$H66,"")</f>
        <v>3.5282785359788842E-2</v>
      </c>
      <c r="AB66" s="19">
        <f t="shared" si="27"/>
        <v>0.54263033000259686</v>
      </c>
      <c r="AC66" s="19">
        <f t="shared" si="8"/>
        <v>0</v>
      </c>
      <c r="AD66" s="19">
        <f t="shared" si="20"/>
        <v>259.75191953984086</v>
      </c>
      <c r="AE66" s="23">
        <f t="shared" si="9"/>
        <v>1245.3749195398409</v>
      </c>
      <c r="AF66" s="27">
        <f>(1/(2*LOG(3.7*$I66/'Calculation Constants'!$B$4*1000)))^2</f>
        <v>1.1152845500629007E-2</v>
      </c>
      <c r="AG66" s="19">
        <f t="shared" si="10"/>
        <v>0.59621735446906032</v>
      </c>
      <c r="AH66" s="19">
        <f>IF($H66&gt;0,'Calculation Constants'!$B$9*Hydraulics!$K66^2/2/9.81/MAX($F$4:$F$253)*$H66,"")</f>
        <v>3.5282785359788842E-2</v>
      </c>
      <c r="AI66" s="19">
        <f t="shared" si="21"/>
        <v>0.63150013982884912</v>
      </c>
      <c r="AJ66" s="19">
        <f t="shared" si="11"/>
        <v>0</v>
      </c>
      <c r="AK66" s="19">
        <f t="shared" si="22"/>
        <v>254.24199133061074</v>
      </c>
      <c r="AL66" s="23">
        <f t="shared" si="12"/>
        <v>1239.8649913306108</v>
      </c>
      <c r="AM66" s="22">
        <f>(1/(2*LOG(3.7*($I66-0.008)/'Calculation Constants'!$B$5*1000)))^2</f>
        <v>1.4104604303736145E-2</v>
      </c>
      <c r="AN66" s="19">
        <f t="shared" si="23"/>
        <v>0.75676661531854661</v>
      </c>
      <c r="AO66" s="19">
        <f>IF($H66&gt;0,'Calculation Constants'!$B$9*Hydraulics!$K66^2/2/9.81/MAX($F$4:$F$253)*$H66,"")</f>
        <v>3.5282785359788842E-2</v>
      </c>
      <c r="AP66" s="19">
        <f t="shared" si="24"/>
        <v>0.7920494006783354</v>
      </c>
      <c r="AQ66" s="19">
        <f t="shared" si="13"/>
        <v>0</v>
      </c>
      <c r="AR66" s="19">
        <f t="shared" si="25"/>
        <v>244.28793715794836</v>
      </c>
      <c r="AS66" s="23">
        <f t="shared" si="14"/>
        <v>1229.9109371579484</v>
      </c>
    </row>
    <row r="67" spans="5:45">
      <c r="E67" s="35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6"/>
        <v>2</v>
      </c>
      <c r="I67" s="19">
        <v>2.2000000000000002</v>
      </c>
      <c r="J67" s="36">
        <f>'Flow Rate Calculations'!$B$7</f>
        <v>4.0831050228310497</v>
      </c>
      <c r="K67" s="36">
        <f t="shared" si="15"/>
        <v>1.0741261942924094</v>
      </c>
      <c r="L67" s="37">
        <f>$I67*$K67/'Calculation Constants'!$B$7</f>
        <v>2091219.139330355</v>
      </c>
      <c r="M67" s="37" t="str">
        <f t="shared" si="1"/>
        <v>Greater Dynamic Pressures</v>
      </c>
      <c r="N67" s="23">
        <f t="shared" si="16"/>
        <v>270.51683348072243</v>
      </c>
      <c r="O67" s="56">
        <f t="shared" si="2"/>
        <v>267.07328920983832</v>
      </c>
      <c r="P67" s="65">
        <f>MAX(I67*1000/'Calculation Constants'!$B$14,O67*10*I67*1000/2/('Calculation Constants'!$B$12*1000*'Calculation Constants'!$B$13))</f>
        <v>19.585374542054812</v>
      </c>
      <c r="Q67" s="67">
        <f t="shared" si="3"/>
        <v>2106301.2853738512</v>
      </c>
      <c r="R67" s="27">
        <f>(1/(2*LOG(3.7*$I67/'Calculation Constants'!$B$2*1000)))^2</f>
        <v>8.4679866037394684E-3</v>
      </c>
      <c r="S67" s="19">
        <f t="shared" si="17"/>
        <v>0.45268811177167712</v>
      </c>
      <c r="T67" s="19">
        <f>IF($H67&gt;0,'Calculation Constants'!$B$9*Hydraulics!$K67^2/2/9.81/MAX($F$4:$F$253)*$H67,"")</f>
        <v>3.5282785359788842E-2</v>
      </c>
      <c r="U67" s="19">
        <f t="shared" si="18"/>
        <v>0.48797089713146596</v>
      </c>
      <c r="V67" s="19">
        <f t="shared" si="4"/>
        <v>0</v>
      </c>
      <c r="W67" s="19">
        <f t="shared" si="5"/>
        <v>270.51683348072243</v>
      </c>
      <c r="X67" s="23">
        <f t="shared" si="6"/>
        <v>1248.2758334807224</v>
      </c>
      <c r="Y67" s="22">
        <f>(1/(2*LOG(3.7*$I67/'Calculation Constants'!$B$3*1000)))^2</f>
        <v>9.4904462912918219E-3</v>
      </c>
      <c r="Z67" s="19">
        <f t="shared" si="7"/>
        <v>0.50734754464280807</v>
      </c>
      <c r="AA67" s="19">
        <f>IF($H67&gt;0,'Calculation Constants'!$B$9*Hydraulics!$K67^2/2/9.81/MAX($F$4:$F$253)*$H67,"")</f>
        <v>3.5282785359788842E-2</v>
      </c>
      <c r="AB67" s="19">
        <f t="shared" si="27"/>
        <v>0.54263033000259686</v>
      </c>
      <c r="AC67" s="19">
        <f t="shared" si="8"/>
        <v>0</v>
      </c>
      <c r="AD67" s="19">
        <f t="shared" si="20"/>
        <v>267.07328920983832</v>
      </c>
      <c r="AE67" s="23">
        <f t="shared" si="9"/>
        <v>1244.8322892098383</v>
      </c>
      <c r="AF67" s="27">
        <f>(1/(2*LOG(3.7*$I67/'Calculation Constants'!$B$4*1000)))^2</f>
        <v>1.1152845500629007E-2</v>
      </c>
      <c r="AG67" s="19">
        <f t="shared" si="10"/>
        <v>0.59621735446906032</v>
      </c>
      <c r="AH67" s="19">
        <f>IF($H67&gt;0,'Calculation Constants'!$B$9*Hydraulics!$K67^2/2/9.81/MAX($F$4:$F$253)*$H67,"")</f>
        <v>3.5282785359788842E-2</v>
      </c>
      <c r="AI67" s="19">
        <f t="shared" si="21"/>
        <v>0.63150013982884912</v>
      </c>
      <c r="AJ67" s="19">
        <f t="shared" si="11"/>
        <v>0</v>
      </c>
      <c r="AK67" s="19">
        <f t="shared" si="22"/>
        <v>261.47449119078192</v>
      </c>
      <c r="AL67" s="23">
        <f t="shared" si="12"/>
        <v>1239.2334911907819</v>
      </c>
      <c r="AM67" s="22">
        <f>(1/(2*LOG(3.7*($I67-0.008)/'Calculation Constants'!$B$5*1000)))^2</f>
        <v>1.4104604303736145E-2</v>
      </c>
      <c r="AN67" s="19">
        <f t="shared" si="23"/>
        <v>0.75676661531854661</v>
      </c>
      <c r="AO67" s="19">
        <f>IF($H67&gt;0,'Calculation Constants'!$B$9*Hydraulics!$K67^2/2/9.81/MAX($F$4:$F$253)*$H67,"")</f>
        <v>3.5282785359788842E-2</v>
      </c>
      <c r="AP67" s="19">
        <f t="shared" si="24"/>
        <v>0.7920494006783354</v>
      </c>
      <c r="AQ67" s="19">
        <f t="shared" si="13"/>
        <v>0</v>
      </c>
      <c r="AR67" s="19">
        <f t="shared" si="25"/>
        <v>251.35988775727014</v>
      </c>
      <c r="AS67" s="23">
        <f t="shared" si="14"/>
        <v>1229.1188877572702</v>
      </c>
    </row>
    <row r="68" spans="5:45">
      <c r="E68" s="35" t="str">
        <f t="shared" ref="E68:E131" si="28">IF(OR(F68=$B$4,F68=$B$5,F68=$B$6),"Pump Station",IF(OR(F68=$B$11,F68=$B$12,F68=$B$13,F68=$B$14,F68=$B$15),"Reservoir",""))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6"/>
        <v>2</v>
      </c>
      <c r="I68" s="19">
        <v>2.2000000000000002</v>
      </c>
      <c r="J68" s="36">
        <f>'Flow Rate Calculations'!$B$7</f>
        <v>4.0831050228310497</v>
      </c>
      <c r="K68" s="36">
        <f t="shared" si="15"/>
        <v>1.0741261942924094</v>
      </c>
      <c r="L68" s="37">
        <f>$I68*$K68/'Calculation Constants'!$B$7</f>
        <v>2091219.139330355</v>
      </c>
      <c r="M68" s="37" t="str">
        <f t="shared" ref="M68:M131" si="29">IF(X68&gt;VLOOKUP(F68,$B$11:$D$15,2),"Greater Dynamic Pressures",VLOOKUP(F68,$B$11:$C$15,2)-G68)</f>
        <v>Greater Dynamic Pressures</v>
      </c>
      <c r="N68" s="23">
        <f t="shared" si="16"/>
        <v>278.015862583591</v>
      </c>
      <c r="O68" s="56">
        <f t="shared" ref="O68:O131" si="30">MAX(M68,AD68)</f>
        <v>274.51765887983572</v>
      </c>
      <c r="P68" s="65">
        <f>MAX(I68*1000/'Calculation Constants'!$B$14,O68*10*I68*1000/2/('Calculation Constants'!$B$12*1000*'Calculation Constants'!$B$13))</f>
        <v>20.13129498452129</v>
      </c>
      <c r="Q68" s="67">
        <f t="shared" ref="Q68:Q131" si="31">(I68^2*PI()/4-(I68-P68/1000*2)^2*PI()/4)*H68*1000*7850</f>
        <v>2164470.0173554276</v>
      </c>
      <c r="R68" s="27">
        <f>(1/(2*LOG(3.7*$I68/'Calculation Constants'!$B$2*1000)))^2</f>
        <v>8.4679866037394684E-3</v>
      </c>
      <c r="S68" s="19">
        <f t="shared" si="17"/>
        <v>0.45268811177167712</v>
      </c>
      <c r="T68" s="19">
        <f>IF($H68&gt;0,'Calculation Constants'!$B$9*Hydraulics!$K68^2/2/9.81/MAX($F$4:$F$253)*$H68,"")</f>
        <v>3.5282785359788842E-2</v>
      </c>
      <c r="U68" s="19">
        <f t="shared" si="18"/>
        <v>0.48797089713146596</v>
      </c>
      <c r="V68" s="19">
        <f t="shared" ref="V68:V131" si="32">IF($F68=$B$4,$D$4,(IF($F68=$B$5,$D$5,IF($F68=$B$6,$D$6,0))))</f>
        <v>0</v>
      </c>
      <c r="W68" s="19">
        <f t="shared" ref="W68:W131" si="33">IF(E68="Reservoir",VLOOKUP(F68,$B$11:$D$15,2)-G68,X68-$G68)</f>
        <v>278.015862583591</v>
      </c>
      <c r="X68" s="23">
        <f t="shared" ref="X68:X131" si="34">IF($E68="Reservoir",VLOOKUP($F68,$B$11:$D$15,2)+V68,X67-U68+V68)</f>
        <v>1247.787862583591</v>
      </c>
      <c r="Y68" s="22">
        <f>(1/(2*LOG(3.7*$I68/'Calculation Constants'!$B$3*1000)))^2</f>
        <v>9.4904462912918219E-3</v>
      </c>
      <c r="Z68" s="19">
        <f t="shared" ref="Z68:Z131" si="35">IF($H68&gt;0,Y68*$H68*$K68^2/2/9.81/$I68*1000,"")</f>
        <v>0.50734754464280807</v>
      </c>
      <c r="AA68" s="19">
        <f>IF($H68&gt;0,'Calculation Constants'!$B$9*Hydraulics!$K68^2/2/9.81/MAX($F$4:$F$253)*$H68,"")</f>
        <v>3.5282785359788842E-2</v>
      </c>
      <c r="AB68" s="19">
        <f t="shared" si="27"/>
        <v>0.54263033000259686</v>
      </c>
      <c r="AC68" s="19">
        <f t="shared" ref="AC68:AC131" si="36">IF($F68=$B$4,$D$4,(IF($F68=$B$5,$D$5,IF($F68=$B$6,$D$6,0))))</f>
        <v>0</v>
      </c>
      <c r="AD68" s="19">
        <f t="shared" si="20"/>
        <v>274.51765887983572</v>
      </c>
      <c r="AE68" s="23">
        <f t="shared" ref="AE68:AE131" si="37">IF($E68="Reservoir",VLOOKUP($F68,$B$11:$D$15,2)+AC68,AE67-AB68+AC68)</f>
        <v>1244.2896588798358</v>
      </c>
      <c r="AF68" s="27">
        <f>(1/(2*LOG(3.7*$I68/'Calculation Constants'!$B$4*1000)))^2</f>
        <v>1.1152845500629007E-2</v>
      </c>
      <c r="AG68" s="19">
        <f t="shared" ref="AG68:AG131" si="38">IF($H68&gt;0,AF68*$H68*$K68^2/2/9.81/$I68*1000,"")</f>
        <v>0.59621735446906032</v>
      </c>
      <c r="AH68" s="19">
        <f>IF($H68&gt;0,'Calculation Constants'!$B$9*Hydraulics!$K68^2/2/9.81/MAX($F$4:$F$253)*$H68,"")</f>
        <v>3.5282785359788842E-2</v>
      </c>
      <c r="AI68" s="19">
        <f t="shared" si="21"/>
        <v>0.63150013982884912</v>
      </c>
      <c r="AJ68" s="19">
        <f t="shared" ref="AJ68:AJ131" si="39">IF($F68=$B$4,$D$4,(IF($F68=$B$5,$D$5,IF($F68=$B$6,$D$6,0))))</f>
        <v>0</v>
      </c>
      <c r="AK68" s="19">
        <f t="shared" si="22"/>
        <v>268.82999105095303</v>
      </c>
      <c r="AL68" s="23">
        <f t="shared" ref="AL68:AL131" si="40">IF($E68="Reservoir",VLOOKUP($F68,$B$11:$D$15,2)+AJ68,AL67-AI68+AJ68)</f>
        <v>1238.6019910509531</v>
      </c>
      <c r="AM68" s="22">
        <f>(1/(2*LOG(3.7*($I68-0.008)/'Calculation Constants'!$B$5*1000)))^2</f>
        <v>1.4104604303736145E-2</v>
      </c>
      <c r="AN68" s="19">
        <f t="shared" si="23"/>
        <v>0.75676661531854661</v>
      </c>
      <c r="AO68" s="19">
        <f>IF($H68&gt;0,'Calculation Constants'!$B$9*Hydraulics!$K68^2/2/9.81/MAX($F$4:$F$253)*$H68,"")</f>
        <v>3.5282785359788842E-2</v>
      </c>
      <c r="AP68" s="19">
        <f t="shared" si="24"/>
        <v>0.7920494006783354</v>
      </c>
      <c r="AQ68" s="19">
        <f t="shared" ref="AQ68:AQ131" si="41">IF($F68=$B$4,$D$4,(IF($F68=$B$5,$D$5,IF($F68=$B$6,$D$6,0))))</f>
        <v>0</v>
      </c>
      <c r="AR68" s="19">
        <f t="shared" si="25"/>
        <v>258.55483835659186</v>
      </c>
      <c r="AS68" s="23">
        <f t="shared" ref="AS68:AS131" si="42">IF($E68="Reservoir",VLOOKUP($F68,$B$11:$D$15,2)+AQ68,AS67-AP68+AQ68)</f>
        <v>1228.3268383565919</v>
      </c>
    </row>
    <row r="69" spans="5:45">
      <c r="E69" s="35" t="str">
        <f t="shared" si="28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6"/>
        <v>2</v>
      </c>
      <c r="I69" s="19">
        <v>2.2000000000000002</v>
      </c>
      <c r="J69" s="36">
        <f>'Flow Rate Calculations'!$B$7</f>
        <v>4.0831050228310497</v>
      </c>
      <c r="K69" s="36">
        <f t="shared" ref="K69:K132" si="43">J69/I69^2/PI()*4</f>
        <v>1.0741261942924094</v>
      </c>
      <c r="L69" s="37">
        <f>$I69*$K69/'Calculation Constants'!$B$7</f>
        <v>2091219.139330355</v>
      </c>
      <c r="M69" s="37" t="str">
        <f t="shared" si="29"/>
        <v>Greater Dynamic Pressures</v>
      </c>
      <c r="N69" s="23">
        <f t="shared" ref="N69:N132" si="44">W69</f>
        <v>265.51489168645969</v>
      </c>
      <c r="O69" s="56">
        <f t="shared" si="30"/>
        <v>261.96202854983324</v>
      </c>
      <c r="P69" s="65">
        <f>MAX(I69*1000/'Calculation Constants'!$B$14,O69*10*I69*1000/2/('Calculation Constants'!$B$12*1000*'Calculation Constants'!$B$13))</f>
        <v>19.210548760321107</v>
      </c>
      <c r="Q69" s="67">
        <f t="shared" si="31"/>
        <v>2066345.9520011779</v>
      </c>
      <c r="R69" s="27">
        <f>(1/(2*LOG(3.7*$I69/'Calculation Constants'!$B$2*1000)))^2</f>
        <v>8.4679866037394684E-3</v>
      </c>
      <c r="S69" s="19">
        <f t="shared" ref="S69:S132" si="45">IF($H69&gt;0,R69*$H69*$K69^2/2/9.81/$I69*1000,"")</f>
        <v>0.45268811177167712</v>
      </c>
      <c r="T69" s="19">
        <f>IF($H69&gt;0,'Calculation Constants'!$B$9*Hydraulics!$K69^2/2/9.81/MAX($F$4:$F$253)*$H69,"")</f>
        <v>3.5282785359788842E-2</v>
      </c>
      <c r="U69" s="19">
        <f t="shared" ref="U69:U132" si="46">IF(S69="",0,S69+T69)</f>
        <v>0.48797089713146596</v>
      </c>
      <c r="V69" s="19">
        <f t="shared" si="32"/>
        <v>0</v>
      </c>
      <c r="W69" s="19">
        <f t="shared" si="33"/>
        <v>265.51489168645969</v>
      </c>
      <c r="X69" s="23">
        <f t="shared" si="34"/>
        <v>1247.2998916864597</v>
      </c>
      <c r="Y69" s="22">
        <f>(1/(2*LOG(3.7*$I69/'Calculation Constants'!$B$3*1000)))^2</f>
        <v>9.4904462912918219E-3</v>
      </c>
      <c r="Z69" s="19">
        <f t="shared" si="35"/>
        <v>0.50734754464280807</v>
      </c>
      <c r="AA69" s="19">
        <f>IF($H69&gt;0,'Calculation Constants'!$B$9*Hydraulics!$K69^2/2/9.81/MAX($F$4:$F$253)*$H69,"")</f>
        <v>3.5282785359788842E-2</v>
      </c>
      <c r="AB69" s="19">
        <f t="shared" si="27"/>
        <v>0.54263033000259686</v>
      </c>
      <c r="AC69" s="19">
        <f t="shared" si="36"/>
        <v>0</v>
      </c>
      <c r="AD69" s="19">
        <f t="shared" ref="AD69:AD132" si="47">AE69-$G69</f>
        <v>261.96202854983324</v>
      </c>
      <c r="AE69" s="23">
        <f t="shared" si="37"/>
        <v>1243.7470285498332</v>
      </c>
      <c r="AF69" s="27">
        <f>(1/(2*LOG(3.7*$I69/'Calculation Constants'!$B$4*1000)))^2</f>
        <v>1.1152845500629007E-2</v>
      </c>
      <c r="AG69" s="19">
        <f t="shared" si="38"/>
        <v>0.59621735446906032</v>
      </c>
      <c r="AH69" s="19">
        <f>IF($H69&gt;0,'Calculation Constants'!$B$9*Hydraulics!$K69^2/2/9.81/MAX($F$4:$F$253)*$H69,"")</f>
        <v>3.5282785359788842E-2</v>
      </c>
      <c r="AI69" s="19">
        <f t="shared" ref="AI69:AI132" si="48">IF(AG69="",0,AG69+AH69)</f>
        <v>0.63150013982884912</v>
      </c>
      <c r="AJ69" s="19">
        <f t="shared" si="39"/>
        <v>0</v>
      </c>
      <c r="AK69" s="19">
        <f t="shared" ref="AK69:AK132" si="49">AL69-$G69</f>
        <v>256.18549091112425</v>
      </c>
      <c r="AL69" s="23">
        <f t="shared" si="40"/>
        <v>1237.9704909111242</v>
      </c>
      <c r="AM69" s="22">
        <f>(1/(2*LOG(3.7*($I69-0.008)/'Calculation Constants'!$B$5*1000)))^2</f>
        <v>1.4104604303736145E-2</v>
      </c>
      <c r="AN69" s="19">
        <f t="shared" ref="AN69:AN132" si="50">IF($H69&gt;0,AM69*$H69*$K69^2/2/9.81/($I69-0.008)*1000,"")</f>
        <v>0.75676661531854661</v>
      </c>
      <c r="AO69" s="19">
        <f>IF($H69&gt;0,'Calculation Constants'!$B$9*Hydraulics!$K69^2/2/9.81/MAX($F$4:$F$253)*$H69,"")</f>
        <v>3.5282785359788842E-2</v>
      </c>
      <c r="AP69" s="19">
        <f t="shared" ref="AP69:AP132" si="51">IF(AN69="",0,AN69+AO69)</f>
        <v>0.7920494006783354</v>
      </c>
      <c r="AQ69" s="19">
        <f t="shared" si="41"/>
        <v>0</v>
      </c>
      <c r="AR69" s="19">
        <f t="shared" ref="AR69:AR132" si="52">AS69-$G69</f>
        <v>245.74978895591369</v>
      </c>
      <c r="AS69" s="23">
        <f t="shared" si="42"/>
        <v>1227.5347889559137</v>
      </c>
    </row>
    <row r="70" spans="5:45">
      <c r="E70" s="35" t="str">
        <f t="shared" si="28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3">F70-F69</f>
        <v>2</v>
      </c>
      <c r="I70" s="19">
        <v>2.2000000000000002</v>
      </c>
      <c r="J70" s="36">
        <f>'Flow Rate Calculations'!$B$7</f>
        <v>4.0831050228310497</v>
      </c>
      <c r="K70" s="36">
        <f t="shared" si="43"/>
        <v>1.0741261942924094</v>
      </c>
      <c r="L70" s="37">
        <f>$I70*$K70/'Calculation Constants'!$B$7</f>
        <v>2091219.139330355</v>
      </c>
      <c r="M70" s="37" t="str">
        <f t="shared" si="29"/>
        <v>Greater Dynamic Pressures</v>
      </c>
      <c r="N70" s="23">
        <f t="shared" si="44"/>
        <v>255.3539207893283</v>
      </c>
      <c r="O70" s="56">
        <f t="shared" si="30"/>
        <v>251.74639821983067</v>
      </c>
      <c r="P70" s="65">
        <f>MAX(I70*1000/'Calculation Constants'!$B$14,O70*10*I70*1000/2/('Calculation Constants'!$B$12*1000*'Calculation Constants'!$B$13))</f>
        <v>18.461402536120918</v>
      </c>
      <c r="Q70" s="67">
        <f t="shared" si="31"/>
        <v>1986447.6220194951</v>
      </c>
      <c r="R70" s="27">
        <f>(1/(2*LOG(3.7*$I70/'Calculation Constants'!$B$2*1000)))^2</f>
        <v>8.4679866037394684E-3</v>
      </c>
      <c r="S70" s="19">
        <f t="shared" si="45"/>
        <v>0.45268811177167712</v>
      </c>
      <c r="T70" s="19">
        <f>IF($H70&gt;0,'Calculation Constants'!$B$9*Hydraulics!$K70^2/2/9.81/MAX($F$4:$F$253)*$H70,"")</f>
        <v>3.5282785359788842E-2</v>
      </c>
      <c r="U70" s="19">
        <f t="shared" si="46"/>
        <v>0.48797089713146596</v>
      </c>
      <c r="V70" s="19">
        <f t="shared" si="32"/>
        <v>0</v>
      </c>
      <c r="W70" s="19">
        <f t="shared" si="33"/>
        <v>255.3539207893283</v>
      </c>
      <c r="X70" s="23">
        <f t="shared" si="34"/>
        <v>1246.8119207893283</v>
      </c>
      <c r="Y70" s="22">
        <f>(1/(2*LOG(3.7*$I70/'Calculation Constants'!$B$3*1000)))^2</f>
        <v>9.4904462912918219E-3</v>
      </c>
      <c r="Z70" s="19">
        <f t="shared" si="35"/>
        <v>0.50734754464280807</v>
      </c>
      <c r="AA70" s="19">
        <f>IF($H70&gt;0,'Calculation Constants'!$B$9*Hydraulics!$K70^2/2/9.81/MAX($F$4:$F$253)*$H70,"")</f>
        <v>3.5282785359788842E-2</v>
      </c>
      <c r="AB70" s="19">
        <f t="shared" si="27"/>
        <v>0.54263033000259686</v>
      </c>
      <c r="AC70" s="19">
        <f t="shared" si="36"/>
        <v>0</v>
      </c>
      <c r="AD70" s="19">
        <f t="shared" si="47"/>
        <v>251.74639821983067</v>
      </c>
      <c r="AE70" s="23">
        <f t="shared" si="37"/>
        <v>1243.2043982198306</v>
      </c>
      <c r="AF70" s="27">
        <f>(1/(2*LOG(3.7*$I70/'Calculation Constants'!$B$4*1000)))^2</f>
        <v>1.1152845500629007E-2</v>
      </c>
      <c r="AG70" s="19">
        <f t="shared" si="38"/>
        <v>0.59621735446906032</v>
      </c>
      <c r="AH70" s="19">
        <f>IF($H70&gt;0,'Calculation Constants'!$B$9*Hydraulics!$K70^2/2/9.81/MAX($F$4:$F$253)*$H70,"")</f>
        <v>3.5282785359788842E-2</v>
      </c>
      <c r="AI70" s="19">
        <f t="shared" si="48"/>
        <v>0.63150013982884912</v>
      </c>
      <c r="AJ70" s="19">
        <f t="shared" si="39"/>
        <v>0</v>
      </c>
      <c r="AK70" s="19">
        <f t="shared" si="49"/>
        <v>245.88099077129539</v>
      </c>
      <c r="AL70" s="23">
        <f t="shared" si="40"/>
        <v>1237.3389907712954</v>
      </c>
      <c r="AM70" s="22">
        <f>(1/(2*LOG(3.7*($I70-0.008)/'Calculation Constants'!$B$5*1000)))^2</f>
        <v>1.4104604303736145E-2</v>
      </c>
      <c r="AN70" s="19">
        <f t="shared" si="50"/>
        <v>0.75676661531854661</v>
      </c>
      <c r="AO70" s="19">
        <f>IF($H70&gt;0,'Calculation Constants'!$B$9*Hydraulics!$K70^2/2/9.81/MAX($F$4:$F$253)*$H70,"")</f>
        <v>3.5282785359788842E-2</v>
      </c>
      <c r="AP70" s="19">
        <f t="shared" si="51"/>
        <v>0.7920494006783354</v>
      </c>
      <c r="AQ70" s="19">
        <f t="shared" si="41"/>
        <v>0</v>
      </c>
      <c r="AR70" s="19">
        <f t="shared" si="52"/>
        <v>235.28473955523543</v>
      </c>
      <c r="AS70" s="23">
        <f t="shared" si="42"/>
        <v>1226.7427395552354</v>
      </c>
    </row>
    <row r="71" spans="5:45">
      <c r="E71" s="35" t="str">
        <f t="shared" si="28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3"/>
        <v>2</v>
      </c>
      <c r="I71" s="19">
        <v>2.2000000000000002</v>
      </c>
      <c r="J71" s="36">
        <f>'Flow Rate Calculations'!$B$7</f>
        <v>4.0831050228310497</v>
      </c>
      <c r="K71" s="36">
        <f t="shared" si="43"/>
        <v>1.0741261942924094</v>
      </c>
      <c r="L71" s="37">
        <f>$I71*$K71/'Calculation Constants'!$B$7</f>
        <v>2091219.139330355</v>
      </c>
      <c r="M71" s="37" t="str">
        <f t="shared" si="29"/>
        <v>Greater Dynamic Pressures</v>
      </c>
      <c r="N71" s="23">
        <f t="shared" si="44"/>
        <v>258.5539498921969</v>
      </c>
      <c r="O71" s="56">
        <f t="shared" si="30"/>
        <v>254.89176788982809</v>
      </c>
      <c r="P71" s="65">
        <f>MAX(I71*1000/'Calculation Constants'!$B$14,O71*10*I71*1000/2/('Calculation Constants'!$B$12*1000*'Calculation Constants'!$B$13))</f>
        <v>18.692062978587394</v>
      </c>
      <c r="Q71" s="67">
        <f t="shared" si="31"/>
        <v>2011054.0373916877</v>
      </c>
      <c r="R71" s="27">
        <f>(1/(2*LOG(3.7*$I71/'Calculation Constants'!$B$2*1000)))^2</f>
        <v>8.4679866037394684E-3</v>
      </c>
      <c r="S71" s="19">
        <f t="shared" si="45"/>
        <v>0.45268811177167712</v>
      </c>
      <c r="T71" s="19">
        <f>IF($H71&gt;0,'Calculation Constants'!$B$9*Hydraulics!$K71^2/2/9.81/MAX($F$4:$F$253)*$H71,"")</f>
        <v>3.5282785359788842E-2</v>
      </c>
      <c r="U71" s="19">
        <f t="shared" si="46"/>
        <v>0.48797089713146596</v>
      </c>
      <c r="V71" s="19">
        <f t="shared" si="32"/>
        <v>0</v>
      </c>
      <c r="W71" s="19">
        <f t="shared" si="33"/>
        <v>258.5539498921969</v>
      </c>
      <c r="X71" s="23">
        <f t="shared" si="34"/>
        <v>1246.3239498921969</v>
      </c>
      <c r="Y71" s="22">
        <f>(1/(2*LOG(3.7*$I71/'Calculation Constants'!$B$3*1000)))^2</f>
        <v>9.4904462912918219E-3</v>
      </c>
      <c r="Z71" s="19">
        <f t="shared" si="35"/>
        <v>0.50734754464280807</v>
      </c>
      <c r="AA71" s="19">
        <f>IF($H71&gt;0,'Calculation Constants'!$B$9*Hydraulics!$K71^2/2/9.81/MAX($F$4:$F$253)*$H71,"")</f>
        <v>3.5282785359788842E-2</v>
      </c>
      <c r="AB71" s="19">
        <f t="shared" si="27"/>
        <v>0.54263033000259686</v>
      </c>
      <c r="AC71" s="19">
        <f t="shared" si="36"/>
        <v>0</v>
      </c>
      <c r="AD71" s="19">
        <f t="shared" si="47"/>
        <v>254.89176788982809</v>
      </c>
      <c r="AE71" s="23">
        <f t="shared" si="37"/>
        <v>1242.6617678898281</v>
      </c>
      <c r="AF71" s="27">
        <f>(1/(2*LOG(3.7*$I71/'Calculation Constants'!$B$4*1000)))^2</f>
        <v>1.1152845500629007E-2</v>
      </c>
      <c r="AG71" s="19">
        <f t="shared" si="38"/>
        <v>0.59621735446906032</v>
      </c>
      <c r="AH71" s="19">
        <f>IF($H71&gt;0,'Calculation Constants'!$B$9*Hydraulics!$K71^2/2/9.81/MAX($F$4:$F$253)*$H71,"")</f>
        <v>3.5282785359788842E-2</v>
      </c>
      <c r="AI71" s="19">
        <f t="shared" si="48"/>
        <v>0.63150013982884912</v>
      </c>
      <c r="AJ71" s="19">
        <f t="shared" si="39"/>
        <v>0</v>
      </c>
      <c r="AK71" s="19">
        <f t="shared" si="49"/>
        <v>248.93749063146652</v>
      </c>
      <c r="AL71" s="23">
        <f t="shared" si="40"/>
        <v>1236.7074906314665</v>
      </c>
      <c r="AM71" s="22">
        <f>(1/(2*LOG(3.7*($I71-0.008)/'Calculation Constants'!$B$5*1000)))^2</f>
        <v>1.4104604303736145E-2</v>
      </c>
      <c r="AN71" s="19">
        <f t="shared" si="50"/>
        <v>0.75676661531854661</v>
      </c>
      <c r="AO71" s="19">
        <f>IF($H71&gt;0,'Calculation Constants'!$B$9*Hydraulics!$K71^2/2/9.81/MAX($F$4:$F$253)*$H71,"")</f>
        <v>3.5282785359788842E-2</v>
      </c>
      <c r="AP71" s="19">
        <f t="shared" si="51"/>
        <v>0.7920494006783354</v>
      </c>
      <c r="AQ71" s="19">
        <f t="shared" si="41"/>
        <v>0</v>
      </c>
      <c r="AR71" s="19">
        <f t="shared" si="52"/>
        <v>238.18069015455717</v>
      </c>
      <c r="AS71" s="23">
        <f t="shared" si="42"/>
        <v>1225.9506901545572</v>
      </c>
    </row>
    <row r="72" spans="5:45">
      <c r="E72" s="35" t="str">
        <f t="shared" si="28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3"/>
        <v>2</v>
      </c>
      <c r="I72" s="19">
        <v>2.2000000000000002</v>
      </c>
      <c r="J72" s="36">
        <f>'Flow Rate Calculations'!$B$7</f>
        <v>4.0831050228310497</v>
      </c>
      <c r="K72" s="36">
        <f t="shared" si="43"/>
        <v>1.0741261942924094</v>
      </c>
      <c r="L72" s="37">
        <f>$I72*$K72/'Calculation Constants'!$B$7</f>
        <v>2091219.139330355</v>
      </c>
      <c r="M72" s="37" t="str">
        <f t="shared" si="29"/>
        <v>Greater Dynamic Pressures</v>
      </c>
      <c r="N72" s="23">
        <f t="shared" si="44"/>
        <v>263.11097899506547</v>
      </c>
      <c r="O72" s="56">
        <f t="shared" si="30"/>
        <v>259.39413755982548</v>
      </c>
      <c r="P72" s="65">
        <f>MAX(I72*1000/'Calculation Constants'!$B$14,O72*10*I72*1000/2/('Calculation Constants'!$B$12*1000*'Calculation Constants'!$B$13))</f>
        <v>19.022236754387205</v>
      </c>
      <c r="Q72" s="67">
        <f t="shared" si="31"/>
        <v>2046267.211787309</v>
      </c>
      <c r="R72" s="27">
        <f>(1/(2*LOG(3.7*$I72/'Calculation Constants'!$B$2*1000)))^2</f>
        <v>8.4679866037394684E-3</v>
      </c>
      <c r="S72" s="19">
        <f t="shared" si="45"/>
        <v>0.45268811177167712</v>
      </c>
      <c r="T72" s="19">
        <f>IF($H72&gt;0,'Calculation Constants'!$B$9*Hydraulics!$K72^2/2/9.81/MAX($F$4:$F$253)*$H72,"")</f>
        <v>3.5282785359788842E-2</v>
      </c>
      <c r="U72" s="19">
        <f t="shared" si="46"/>
        <v>0.48797089713146596</v>
      </c>
      <c r="V72" s="19">
        <f t="shared" si="32"/>
        <v>0</v>
      </c>
      <c r="W72" s="19">
        <f t="shared" si="33"/>
        <v>263.11097899506547</v>
      </c>
      <c r="X72" s="23">
        <f t="shared" si="34"/>
        <v>1245.8359789950655</v>
      </c>
      <c r="Y72" s="22">
        <f>(1/(2*LOG(3.7*$I72/'Calculation Constants'!$B$3*1000)))^2</f>
        <v>9.4904462912918219E-3</v>
      </c>
      <c r="Z72" s="19">
        <f t="shared" si="35"/>
        <v>0.50734754464280807</v>
      </c>
      <c r="AA72" s="19">
        <f>IF($H72&gt;0,'Calculation Constants'!$B$9*Hydraulics!$K72^2/2/9.81/MAX($F$4:$F$253)*$H72,"")</f>
        <v>3.5282785359788842E-2</v>
      </c>
      <c r="AB72" s="19">
        <f t="shared" ref="AB72:AB135" si="54">IF(Z72="",0,Z72+AA72)</f>
        <v>0.54263033000259686</v>
      </c>
      <c r="AC72" s="19">
        <f t="shared" si="36"/>
        <v>0</v>
      </c>
      <c r="AD72" s="19">
        <f t="shared" si="47"/>
        <v>259.39413755982548</v>
      </c>
      <c r="AE72" s="23">
        <f t="shared" si="37"/>
        <v>1242.1191375598255</v>
      </c>
      <c r="AF72" s="27">
        <f>(1/(2*LOG(3.7*$I72/'Calculation Constants'!$B$4*1000)))^2</f>
        <v>1.1152845500629007E-2</v>
      </c>
      <c r="AG72" s="19">
        <f t="shared" si="38"/>
        <v>0.59621735446906032</v>
      </c>
      <c r="AH72" s="19">
        <f>IF($H72&gt;0,'Calculation Constants'!$B$9*Hydraulics!$K72^2/2/9.81/MAX($F$4:$F$253)*$H72,"")</f>
        <v>3.5282785359788842E-2</v>
      </c>
      <c r="AI72" s="19">
        <f t="shared" si="48"/>
        <v>0.63150013982884912</v>
      </c>
      <c r="AJ72" s="19">
        <f t="shared" si="39"/>
        <v>0</v>
      </c>
      <c r="AK72" s="19">
        <f t="shared" si="49"/>
        <v>253.35099049163762</v>
      </c>
      <c r="AL72" s="23">
        <f t="shared" si="40"/>
        <v>1236.0759904916376</v>
      </c>
      <c r="AM72" s="22">
        <f>(1/(2*LOG(3.7*($I72-0.008)/'Calculation Constants'!$B$5*1000)))^2</f>
        <v>1.4104604303736145E-2</v>
      </c>
      <c r="AN72" s="19">
        <f t="shared" si="50"/>
        <v>0.75676661531854661</v>
      </c>
      <c r="AO72" s="19">
        <f>IF($H72&gt;0,'Calculation Constants'!$B$9*Hydraulics!$K72^2/2/9.81/MAX($F$4:$F$253)*$H72,"")</f>
        <v>3.5282785359788842E-2</v>
      </c>
      <c r="AP72" s="19">
        <f t="shared" si="51"/>
        <v>0.7920494006783354</v>
      </c>
      <c r="AQ72" s="19">
        <f t="shared" si="41"/>
        <v>0</v>
      </c>
      <c r="AR72" s="19">
        <f t="shared" si="52"/>
        <v>242.43364075387888</v>
      </c>
      <c r="AS72" s="23">
        <f t="shared" si="42"/>
        <v>1225.1586407538789</v>
      </c>
    </row>
    <row r="73" spans="5:45">
      <c r="E73" s="35" t="str">
        <f t="shared" si="28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3"/>
        <v>2</v>
      </c>
      <c r="I73" s="19">
        <v>2.2000000000000002</v>
      </c>
      <c r="J73" s="36">
        <f>'Flow Rate Calculations'!$B$7</f>
        <v>4.0831050228310497</v>
      </c>
      <c r="K73" s="36">
        <f t="shared" si="43"/>
        <v>1.0741261942924094</v>
      </c>
      <c r="L73" s="37">
        <f>$I73*$K73/'Calculation Constants'!$B$7</f>
        <v>2091219.139330355</v>
      </c>
      <c r="M73" s="37" t="str">
        <f t="shared" si="29"/>
        <v>Greater Dynamic Pressures</v>
      </c>
      <c r="N73" s="23">
        <f t="shared" si="44"/>
        <v>267.78900809793413</v>
      </c>
      <c r="O73" s="56">
        <f t="shared" si="30"/>
        <v>264.01750722982297</v>
      </c>
      <c r="P73" s="65">
        <f>MAX(I73*1000/'Calculation Constants'!$B$14,O73*10*I73*1000/2/('Calculation Constants'!$B$12*1000*'Calculation Constants'!$B$13))</f>
        <v>19.361283863520356</v>
      </c>
      <c r="Q73" s="67">
        <f t="shared" si="31"/>
        <v>2082415.5397159678</v>
      </c>
      <c r="R73" s="27">
        <f>(1/(2*LOG(3.7*$I73/'Calculation Constants'!$B$2*1000)))^2</f>
        <v>8.4679866037394684E-3</v>
      </c>
      <c r="S73" s="19">
        <f t="shared" si="45"/>
        <v>0.45268811177167712</v>
      </c>
      <c r="T73" s="19">
        <f>IF($H73&gt;0,'Calculation Constants'!$B$9*Hydraulics!$K73^2/2/9.81/MAX($F$4:$F$253)*$H73,"")</f>
        <v>3.5282785359788842E-2</v>
      </c>
      <c r="U73" s="19">
        <f t="shared" si="46"/>
        <v>0.48797089713146596</v>
      </c>
      <c r="V73" s="19">
        <f t="shared" si="32"/>
        <v>0</v>
      </c>
      <c r="W73" s="19">
        <f t="shared" si="33"/>
        <v>267.78900809793413</v>
      </c>
      <c r="X73" s="23">
        <f t="shared" si="34"/>
        <v>1245.3480080979341</v>
      </c>
      <c r="Y73" s="22">
        <f>(1/(2*LOG(3.7*$I73/'Calculation Constants'!$B$3*1000)))^2</f>
        <v>9.4904462912918219E-3</v>
      </c>
      <c r="Z73" s="19">
        <f t="shared" si="35"/>
        <v>0.50734754464280807</v>
      </c>
      <c r="AA73" s="19">
        <f>IF($H73&gt;0,'Calculation Constants'!$B$9*Hydraulics!$K73^2/2/9.81/MAX($F$4:$F$253)*$H73,"")</f>
        <v>3.5282785359788842E-2</v>
      </c>
      <c r="AB73" s="19">
        <f t="shared" si="54"/>
        <v>0.54263033000259686</v>
      </c>
      <c r="AC73" s="19">
        <f t="shared" si="36"/>
        <v>0</v>
      </c>
      <c r="AD73" s="19">
        <f t="shared" si="47"/>
        <v>264.01750722982297</v>
      </c>
      <c r="AE73" s="23">
        <f t="shared" si="37"/>
        <v>1241.5765072298229</v>
      </c>
      <c r="AF73" s="27">
        <f>(1/(2*LOG(3.7*$I73/'Calculation Constants'!$B$4*1000)))^2</f>
        <v>1.1152845500629007E-2</v>
      </c>
      <c r="AG73" s="19">
        <f t="shared" si="38"/>
        <v>0.59621735446906032</v>
      </c>
      <c r="AH73" s="19">
        <f>IF($H73&gt;0,'Calculation Constants'!$B$9*Hydraulics!$K73^2/2/9.81/MAX($F$4:$F$253)*$H73,"")</f>
        <v>3.5282785359788842E-2</v>
      </c>
      <c r="AI73" s="19">
        <f t="shared" si="48"/>
        <v>0.63150013982884912</v>
      </c>
      <c r="AJ73" s="19">
        <f t="shared" si="39"/>
        <v>0</v>
      </c>
      <c r="AK73" s="19">
        <f t="shared" si="49"/>
        <v>257.88549035180881</v>
      </c>
      <c r="AL73" s="23">
        <f t="shared" si="40"/>
        <v>1235.4444903518088</v>
      </c>
      <c r="AM73" s="22">
        <f>(1/(2*LOG(3.7*($I73-0.008)/'Calculation Constants'!$B$5*1000)))^2</f>
        <v>1.4104604303736145E-2</v>
      </c>
      <c r="AN73" s="19">
        <f t="shared" si="50"/>
        <v>0.75676661531854661</v>
      </c>
      <c r="AO73" s="19">
        <f>IF($H73&gt;0,'Calculation Constants'!$B$9*Hydraulics!$K73^2/2/9.81/MAX($F$4:$F$253)*$H73,"")</f>
        <v>3.5282785359788842E-2</v>
      </c>
      <c r="AP73" s="19">
        <f t="shared" si="51"/>
        <v>0.7920494006783354</v>
      </c>
      <c r="AQ73" s="19">
        <f t="shared" si="41"/>
        <v>0</v>
      </c>
      <c r="AR73" s="19">
        <f t="shared" si="52"/>
        <v>246.80759135320068</v>
      </c>
      <c r="AS73" s="23">
        <f t="shared" si="42"/>
        <v>1224.3665913532006</v>
      </c>
    </row>
    <row r="74" spans="5:45">
      <c r="E74" s="35" t="str">
        <f t="shared" si="28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3"/>
        <v>2</v>
      </c>
      <c r="I74" s="19">
        <v>2.2000000000000002</v>
      </c>
      <c r="J74" s="36">
        <f>'Flow Rate Calculations'!$B$7</f>
        <v>4.0831050228310497</v>
      </c>
      <c r="K74" s="36">
        <f t="shared" si="43"/>
        <v>1.0741261942924094</v>
      </c>
      <c r="L74" s="37">
        <f>$I74*$K74/'Calculation Constants'!$B$7</f>
        <v>2091219.139330355</v>
      </c>
      <c r="M74" s="37" t="str">
        <f t="shared" si="29"/>
        <v>Greater Dynamic Pressures</v>
      </c>
      <c r="N74" s="23">
        <f t="shared" si="44"/>
        <v>269.57103720080272</v>
      </c>
      <c r="O74" s="56">
        <f t="shared" si="30"/>
        <v>265.74487689982038</v>
      </c>
      <c r="P74" s="65">
        <f>MAX(I74*1000/'Calculation Constants'!$B$14,O74*10*I74*1000/2/('Calculation Constants'!$B$12*1000*'Calculation Constants'!$B$13))</f>
        <v>19.487957639320165</v>
      </c>
      <c r="Q74" s="67">
        <f t="shared" si="31"/>
        <v>2095918.2610418857</v>
      </c>
      <c r="R74" s="27">
        <f>(1/(2*LOG(3.7*$I74/'Calculation Constants'!$B$2*1000)))^2</f>
        <v>8.4679866037394684E-3</v>
      </c>
      <c r="S74" s="19">
        <f t="shared" si="45"/>
        <v>0.45268811177167712</v>
      </c>
      <c r="T74" s="19">
        <f>IF($H74&gt;0,'Calculation Constants'!$B$9*Hydraulics!$K74^2/2/9.81/MAX($F$4:$F$253)*$H74,"")</f>
        <v>3.5282785359788842E-2</v>
      </c>
      <c r="U74" s="19">
        <f t="shared" si="46"/>
        <v>0.48797089713146596</v>
      </c>
      <c r="V74" s="19">
        <f t="shared" si="32"/>
        <v>0</v>
      </c>
      <c r="W74" s="19">
        <f t="shared" si="33"/>
        <v>269.57103720080272</v>
      </c>
      <c r="X74" s="23">
        <f t="shared" si="34"/>
        <v>1244.8600372008027</v>
      </c>
      <c r="Y74" s="22">
        <f>(1/(2*LOG(3.7*$I74/'Calculation Constants'!$B$3*1000)))^2</f>
        <v>9.4904462912918219E-3</v>
      </c>
      <c r="Z74" s="19">
        <f t="shared" si="35"/>
        <v>0.50734754464280807</v>
      </c>
      <c r="AA74" s="19">
        <f>IF($H74&gt;0,'Calculation Constants'!$B$9*Hydraulics!$K74^2/2/9.81/MAX($F$4:$F$253)*$H74,"")</f>
        <v>3.5282785359788842E-2</v>
      </c>
      <c r="AB74" s="19">
        <f t="shared" si="54"/>
        <v>0.54263033000259686</v>
      </c>
      <c r="AC74" s="19">
        <f t="shared" si="36"/>
        <v>0</v>
      </c>
      <c r="AD74" s="19">
        <f t="shared" si="47"/>
        <v>265.74487689982038</v>
      </c>
      <c r="AE74" s="23">
        <f t="shared" si="37"/>
        <v>1241.0338768998204</v>
      </c>
      <c r="AF74" s="27">
        <f>(1/(2*LOG(3.7*$I74/'Calculation Constants'!$B$4*1000)))^2</f>
        <v>1.1152845500629007E-2</v>
      </c>
      <c r="AG74" s="19">
        <f t="shared" si="38"/>
        <v>0.59621735446906032</v>
      </c>
      <c r="AH74" s="19">
        <f>IF($H74&gt;0,'Calculation Constants'!$B$9*Hydraulics!$K74^2/2/9.81/MAX($F$4:$F$253)*$H74,"")</f>
        <v>3.5282785359788842E-2</v>
      </c>
      <c r="AI74" s="19">
        <f t="shared" si="48"/>
        <v>0.63150013982884912</v>
      </c>
      <c r="AJ74" s="19">
        <f t="shared" si="39"/>
        <v>0</v>
      </c>
      <c r="AK74" s="19">
        <f t="shared" si="49"/>
        <v>259.52399021197994</v>
      </c>
      <c r="AL74" s="23">
        <f t="shared" si="40"/>
        <v>1234.8129902119799</v>
      </c>
      <c r="AM74" s="22">
        <f>(1/(2*LOG(3.7*($I74-0.008)/'Calculation Constants'!$B$5*1000)))^2</f>
        <v>1.4104604303736145E-2</v>
      </c>
      <c r="AN74" s="19">
        <f t="shared" si="50"/>
        <v>0.75676661531854661</v>
      </c>
      <c r="AO74" s="19">
        <f>IF($H74&gt;0,'Calculation Constants'!$B$9*Hydraulics!$K74^2/2/9.81/MAX($F$4:$F$253)*$H74,"")</f>
        <v>3.5282785359788842E-2</v>
      </c>
      <c r="AP74" s="19">
        <f t="shared" si="51"/>
        <v>0.7920494006783354</v>
      </c>
      <c r="AQ74" s="19">
        <f t="shared" si="41"/>
        <v>0</v>
      </c>
      <c r="AR74" s="19">
        <f t="shared" si="52"/>
        <v>248.28554195252241</v>
      </c>
      <c r="AS74" s="23">
        <f t="shared" si="42"/>
        <v>1223.5745419525224</v>
      </c>
    </row>
    <row r="75" spans="5:45">
      <c r="E75" s="35" t="str">
        <f t="shared" si="28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3"/>
        <v>2</v>
      </c>
      <c r="I75" s="19">
        <v>2.2000000000000002</v>
      </c>
      <c r="J75" s="36">
        <f>'Flow Rate Calculations'!$B$7</f>
        <v>4.0831050228310497</v>
      </c>
      <c r="K75" s="36">
        <f t="shared" si="43"/>
        <v>1.0741261942924094</v>
      </c>
      <c r="L75" s="37">
        <f>$I75*$K75/'Calculation Constants'!$B$7</f>
        <v>2091219.139330355</v>
      </c>
      <c r="M75" s="37" t="str">
        <f t="shared" si="29"/>
        <v>Greater Dynamic Pressures</v>
      </c>
      <c r="N75" s="23">
        <f t="shared" si="44"/>
        <v>270.40406630367136</v>
      </c>
      <c r="O75" s="56">
        <f t="shared" si="30"/>
        <v>266.52324656981784</v>
      </c>
      <c r="P75" s="65">
        <f>MAX(I75*1000/'Calculation Constants'!$B$14,O75*10*I75*1000/2/('Calculation Constants'!$B$12*1000*'Calculation Constants'!$B$13))</f>
        <v>19.545038081786643</v>
      </c>
      <c r="Q75" s="67">
        <f t="shared" si="31"/>
        <v>2102002.2020138274</v>
      </c>
      <c r="R75" s="27">
        <f>(1/(2*LOG(3.7*$I75/'Calculation Constants'!$B$2*1000)))^2</f>
        <v>8.4679866037394684E-3</v>
      </c>
      <c r="S75" s="19">
        <f t="shared" si="45"/>
        <v>0.45268811177167712</v>
      </c>
      <c r="T75" s="19">
        <f>IF($H75&gt;0,'Calculation Constants'!$B$9*Hydraulics!$K75^2/2/9.81/MAX($F$4:$F$253)*$H75,"")</f>
        <v>3.5282785359788842E-2</v>
      </c>
      <c r="U75" s="19">
        <f t="shared" si="46"/>
        <v>0.48797089713146596</v>
      </c>
      <c r="V75" s="19">
        <f t="shared" si="32"/>
        <v>0</v>
      </c>
      <c r="W75" s="19">
        <f t="shared" si="33"/>
        <v>270.40406630367136</v>
      </c>
      <c r="X75" s="23">
        <f t="shared" si="34"/>
        <v>1244.3720663036713</v>
      </c>
      <c r="Y75" s="22">
        <f>(1/(2*LOG(3.7*$I75/'Calculation Constants'!$B$3*1000)))^2</f>
        <v>9.4904462912918219E-3</v>
      </c>
      <c r="Z75" s="19">
        <f t="shared" si="35"/>
        <v>0.50734754464280807</v>
      </c>
      <c r="AA75" s="19">
        <f>IF($H75&gt;0,'Calculation Constants'!$B$9*Hydraulics!$K75^2/2/9.81/MAX($F$4:$F$253)*$H75,"")</f>
        <v>3.5282785359788842E-2</v>
      </c>
      <c r="AB75" s="19">
        <f t="shared" si="54"/>
        <v>0.54263033000259686</v>
      </c>
      <c r="AC75" s="19">
        <f t="shared" si="36"/>
        <v>0</v>
      </c>
      <c r="AD75" s="19">
        <f t="shared" si="47"/>
        <v>266.52324656981784</v>
      </c>
      <c r="AE75" s="23">
        <f t="shared" si="37"/>
        <v>1240.4912465698178</v>
      </c>
      <c r="AF75" s="27">
        <f>(1/(2*LOG(3.7*$I75/'Calculation Constants'!$B$4*1000)))^2</f>
        <v>1.1152845500629007E-2</v>
      </c>
      <c r="AG75" s="19">
        <f t="shared" si="38"/>
        <v>0.59621735446906032</v>
      </c>
      <c r="AH75" s="19">
        <f>IF($H75&gt;0,'Calculation Constants'!$B$9*Hydraulics!$K75^2/2/9.81/MAX($F$4:$F$253)*$H75,"")</f>
        <v>3.5282785359788842E-2</v>
      </c>
      <c r="AI75" s="19">
        <f t="shared" si="48"/>
        <v>0.63150013982884912</v>
      </c>
      <c r="AJ75" s="19">
        <f t="shared" si="39"/>
        <v>0</v>
      </c>
      <c r="AK75" s="19">
        <f t="shared" si="49"/>
        <v>260.2134900721511</v>
      </c>
      <c r="AL75" s="23">
        <f t="shared" si="40"/>
        <v>1234.1814900721511</v>
      </c>
      <c r="AM75" s="22">
        <f>(1/(2*LOG(3.7*($I75-0.008)/'Calculation Constants'!$B$5*1000)))^2</f>
        <v>1.4104604303736145E-2</v>
      </c>
      <c r="AN75" s="19">
        <f t="shared" si="50"/>
        <v>0.75676661531854661</v>
      </c>
      <c r="AO75" s="19">
        <f>IF($H75&gt;0,'Calculation Constants'!$B$9*Hydraulics!$K75^2/2/9.81/MAX($F$4:$F$253)*$H75,"")</f>
        <v>3.5282785359788842E-2</v>
      </c>
      <c r="AP75" s="19">
        <f t="shared" si="51"/>
        <v>0.7920494006783354</v>
      </c>
      <c r="AQ75" s="19">
        <f t="shared" si="41"/>
        <v>0</v>
      </c>
      <c r="AR75" s="19">
        <f t="shared" si="52"/>
        <v>248.81449255184418</v>
      </c>
      <c r="AS75" s="23">
        <f t="shared" si="42"/>
        <v>1222.7824925518441</v>
      </c>
    </row>
    <row r="76" spans="5:45">
      <c r="E76" s="35" t="str">
        <f t="shared" si="28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3"/>
        <v>2</v>
      </c>
      <c r="I76" s="19">
        <v>2.2000000000000002</v>
      </c>
      <c r="J76" s="36">
        <f>'Flow Rate Calculations'!$B$7</f>
        <v>4.0831050228310497</v>
      </c>
      <c r="K76" s="36">
        <f t="shared" si="43"/>
        <v>1.0741261942924094</v>
      </c>
      <c r="L76" s="37">
        <f>$I76*$K76/'Calculation Constants'!$B$7</f>
        <v>2091219.139330355</v>
      </c>
      <c r="M76" s="37" t="str">
        <f t="shared" si="29"/>
        <v>Greater Dynamic Pressures</v>
      </c>
      <c r="N76" s="23">
        <f t="shared" si="44"/>
        <v>281.41109540653997</v>
      </c>
      <c r="O76" s="56">
        <f t="shared" si="30"/>
        <v>277.47561623981528</v>
      </c>
      <c r="P76" s="65">
        <f>MAX(I76*1000/'Calculation Constants'!$B$14,O76*10*I76*1000/2/('Calculation Constants'!$B$12*1000*'Calculation Constants'!$B$13))</f>
        <v>20.348211857586456</v>
      </c>
      <c r="Q76" s="67">
        <f t="shared" si="31"/>
        <v>2187574.7097088252</v>
      </c>
      <c r="R76" s="27">
        <f>(1/(2*LOG(3.7*$I76/'Calculation Constants'!$B$2*1000)))^2</f>
        <v>8.4679866037394684E-3</v>
      </c>
      <c r="S76" s="19">
        <f t="shared" si="45"/>
        <v>0.45268811177167712</v>
      </c>
      <c r="T76" s="19">
        <f>IF($H76&gt;0,'Calculation Constants'!$B$9*Hydraulics!$K76^2/2/9.81/MAX($F$4:$F$253)*$H76,"")</f>
        <v>3.5282785359788842E-2</v>
      </c>
      <c r="U76" s="19">
        <f t="shared" si="46"/>
        <v>0.48797089713146596</v>
      </c>
      <c r="V76" s="19">
        <f t="shared" si="32"/>
        <v>0</v>
      </c>
      <c r="W76" s="19">
        <f t="shared" si="33"/>
        <v>281.41109540653997</v>
      </c>
      <c r="X76" s="23">
        <f t="shared" si="34"/>
        <v>1243.8840954065399</v>
      </c>
      <c r="Y76" s="22">
        <f>(1/(2*LOG(3.7*$I76/'Calculation Constants'!$B$3*1000)))^2</f>
        <v>9.4904462912918219E-3</v>
      </c>
      <c r="Z76" s="19">
        <f t="shared" si="35"/>
        <v>0.50734754464280807</v>
      </c>
      <c r="AA76" s="19">
        <f>IF($H76&gt;0,'Calculation Constants'!$B$9*Hydraulics!$K76^2/2/9.81/MAX($F$4:$F$253)*$H76,"")</f>
        <v>3.5282785359788842E-2</v>
      </c>
      <c r="AB76" s="19">
        <f t="shared" si="54"/>
        <v>0.54263033000259686</v>
      </c>
      <c r="AC76" s="19">
        <f t="shared" si="36"/>
        <v>0</v>
      </c>
      <c r="AD76" s="19">
        <f t="shared" si="47"/>
        <v>277.47561623981528</v>
      </c>
      <c r="AE76" s="23">
        <f t="shared" si="37"/>
        <v>1239.9486162398152</v>
      </c>
      <c r="AF76" s="27">
        <f>(1/(2*LOG(3.7*$I76/'Calculation Constants'!$B$4*1000)))^2</f>
        <v>1.1152845500629007E-2</v>
      </c>
      <c r="AG76" s="19">
        <f t="shared" si="38"/>
        <v>0.59621735446906032</v>
      </c>
      <c r="AH76" s="19">
        <f>IF($H76&gt;0,'Calculation Constants'!$B$9*Hydraulics!$K76^2/2/9.81/MAX($F$4:$F$253)*$H76,"")</f>
        <v>3.5282785359788842E-2</v>
      </c>
      <c r="AI76" s="19">
        <f t="shared" si="48"/>
        <v>0.63150013982884912</v>
      </c>
      <c r="AJ76" s="19">
        <f t="shared" si="39"/>
        <v>0</v>
      </c>
      <c r="AK76" s="19">
        <f t="shared" si="49"/>
        <v>271.07698993232225</v>
      </c>
      <c r="AL76" s="23">
        <f t="shared" si="40"/>
        <v>1233.5499899323222</v>
      </c>
      <c r="AM76" s="22">
        <f>(1/(2*LOG(3.7*($I76-0.008)/'Calculation Constants'!$B$5*1000)))^2</f>
        <v>1.4104604303736145E-2</v>
      </c>
      <c r="AN76" s="19">
        <f t="shared" si="50"/>
        <v>0.75676661531854661</v>
      </c>
      <c r="AO76" s="19">
        <f>IF($H76&gt;0,'Calculation Constants'!$B$9*Hydraulics!$K76^2/2/9.81/MAX($F$4:$F$253)*$H76,"")</f>
        <v>3.5282785359788842E-2</v>
      </c>
      <c r="AP76" s="19">
        <f t="shared" si="51"/>
        <v>0.7920494006783354</v>
      </c>
      <c r="AQ76" s="19">
        <f t="shared" si="41"/>
        <v>0</v>
      </c>
      <c r="AR76" s="19">
        <f t="shared" si="52"/>
        <v>259.51744315116593</v>
      </c>
      <c r="AS76" s="23">
        <f t="shared" si="42"/>
        <v>1221.9904431511659</v>
      </c>
    </row>
    <row r="77" spans="5:45">
      <c r="E77" s="35" t="str">
        <f t="shared" si="28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3"/>
        <v>2</v>
      </c>
      <c r="I77" s="19">
        <v>2.2000000000000002</v>
      </c>
      <c r="J77" s="36">
        <f>'Flow Rate Calculations'!$B$7</f>
        <v>4.0831050228310497</v>
      </c>
      <c r="K77" s="36">
        <f t="shared" si="43"/>
        <v>1.0741261942924094</v>
      </c>
      <c r="L77" s="37">
        <f>$I77*$K77/'Calculation Constants'!$B$7</f>
        <v>2091219.139330355</v>
      </c>
      <c r="M77" s="37" t="str">
        <f t="shared" si="29"/>
        <v>Greater Dynamic Pressures</v>
      </c>
      <c r="N77" s="23">
        <f t="shared" si="44"/>
        <v>292.11112450940857</v>
      </c>
      <c r="O77" s="56">
        <f t="shared" si="30"/>
        <v>288.1209859098127</v>
      </c>
      <c r="P77" s="65">
        <f>MAX(I77*1000/'Calculation Constants'!$B$14,O77*10*I77*1000/2/('Calculation Constants'!$B$12*1000*'Calculation Constants'!$B$13))</f>
        <v>21.128872300052933</v>
      </c>
      <c r="Q77" s="67">
        <f t="shared" si="31"/>
        <v>2270687.5955626103</v>
      </c>
      <c r="R77" s="27">
        <f>(1/(2*LOG(3.7*$I77/'Calculation Constants'!$B$2*1000)))^2</f>
        <v>8.4679866037394684E-3</v>
      </c>
      <c r="S77" s="19">
        <f t="shared" si="45"/>
        <v>0.45268811177167712</v>
      </c>
      <c r="T77" s="19">
        <f>IF($H77&gt;0,'Calculation Constants'!$B$9*Hydraulics!$K77^2/2/9.81/MAX($F$4:$F$253)*$H77,"")</f>
        <v>3.5282785359788842E-2</v>
      </c>
      <c r="U77" s="19">
        <f t="shared" si="46"/>
        <v>0.48797089713146596</v>
      </c>
      <c r="V77" s="19">
        <f t="shared" si="32"/>
        <v>0</v>
      </c>
      <c r="W77" s="19">
        <f t="shared" si="33"/>
        <v>292.11112450940857</v>
      </c>
      <c r="X77" s="23">
        <f t="shared" si="34"/>
        <v>1243.3961245094085</v>
      </c>
      <c r="Y77" s="22">
        <f>(1/(2*LOG(3.7*$I77/'Calculation Constants'!$B$3*1000)))^2</f>
        <v>9.4904462912918219E-3</v>
      </c>
      <c r="Z77" s="19">
        <f t="shared" si="35"/>
        <v>0.50734754464280807</v>
      </c>
      <c r="AA77" s="19">
        <f>IF($H77&gt;0,'Calculation Constants'!$B$9*Hydraulics!$K77^2/2/9.81/MAX($F$4:$F$253)*$H77,"")</f>
        <v>3.5282785359788842E-2</v>
      </c>
      <c r="AB77" s="19">
        <f t="shared" si="54"/>
        <v>0.54263033000259686</v>
      </c>
      <c r="AC77" s="19">
        <f t="shared" si="36"/>
        <v>0</v>
      </c>
      <c r="AD77" s="19">
        <f t="shared" si="47"/>
        <v>288.1209859098127</v>
      </c>
      <c r="AE77" s="23">
        <f t="shared" si="37"/>
        <v>1239.4059859098127</v>
      </c>
      <c r="AF77" s="27">
        <f>(1/(2*LOG(3.7*$I77/'Calculation Constants'!$B$4*1000)))^2</f>
        <v>1.1152845500629007E-2</v>
      </c>
      <c r="AG77" s="19">
        <f t="shared" si="38"/>
        <v>0.59621735446906032</v>
      </c>
      <c r="AH77" s="19">
        <f>IF($H77&gt;0,'Calculation Constants'!$B$9*Hydraulics!$K77^2/2/9.81/MAX($F$4:$F$253)*$H77,"")</f>
        <v>3.5282785359788842E-2</v>
      </c>
      <c r="AI77" s="19">
        <f t="shared" si="48"/>
        <v>0.63150013982884912</v>
      </c>
      <c r="AJ77" s="19">
        <f t="shared" si="39"/>
        <v>0</v>
      </c>
      <c r="AK77" s="19">
        <f t="shared" si="49"/>
        <v>281.63348979249338</v>
      </c>
      <c r="AL77" s="23">
        <f t="shared" si="40"/>
        <v>1232.9184897924933</v>
      </c>
      <c r="AM77" s="22">
        <f>(1/(2*LOG(3.7*($I77-0.008)/'Calculation Constants'!$B$5*1000)))^2</f>
        <v>1.4104604303736145E-2</v>
      </c>
      <c r="AN77" s="19">
        <f t="shared" si="50"/>
        <v>0.75676661531854661</v>
      </c>
      <c r="AO77" s="19">
        <f>IF($H77&gt;0,'Calculation Constants'!$B$9*Hydraulics!$K77^2/2/9.81/MAX($F$4:$F$253)*$H77,"")</f>
        <v>3.5282785359788842E-2</v>
      </c>
      <c r="AP77" s="19">
        <f t="shared" si="51"/>
        <v>0.7920494006783354</v>
      </c>
      <c r="AQ77" s="19">
        <f t="shared" si="41"/>
        <v>0</v>
      </c>
      <c r="AR77" s="19">
        <f t="shared" si="52"/>
        <v>269.91339375048767</v>
      </c>
      <c r="AS77" s="23">
        <f t="shared" si="42"/>
        <v>1221.1983937504876</v>
      </c>
    </row>
    <row r="78" spans="5:45">
      <c r="E78" s="35" t="str">
        <f t="shared" si="28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3"/>
        <v>2</v>
      </c>
      <c r="I78" s="19">
        <v>2.2000000000000002</v>
      </c>
      <c r="J78" s="36">
        <f>'Flow Rate Calculations'!$B$7</f>
        <v>4.0831050228310497</v>
      </c>
      <c r="K78" s="36">
        <f t="shared" si="43"/>
        <v>1.0741261942924094</v>
      </c>
      <c r="L78" s="37">
        <f>$I78*$K78/'Calculation Constants'!$B$7</f>
        <v>2091219.139330355</v>
      </c>
      <c r="M78" s="37" t="str">
        <f t="shared" si="29"/>
        <v>Greater Dynamic Pressures</v>
      </c>
      <c r="N78" s="23">
        <f t="shared" si="44"/>
        <v>294.73415361227717</v>
      </c>
      <c r="O78" s="56">
        <f t="shared" si="30"/>
        <v>290.68935557981013</v>
      </c>
      <c r="P78" s="65">
        <f>MAX(I78*1000/'Calculation Constants'!$B$14,O78*10*I78*1000/2/('Calculation Constants'!$B$12*1000*'Calculation Constants'!$B$13))</f>
        <v>21.31721940918608</v>
      </c>
      <c r="Q78" s="67">
        <f t="shared" si="31"/>
        <v>2290730.9376870869</v>
      </c>
      <c r="R78" s="27">
        <f>(1/(2*LOG(3.7*$I78/'Calculation Constants'!$B$2*1000)))^2</f>
        <v>8.4679866037394684E-3</v>
      </c>
      <c r="S78" s="19">
        <f t="shared" si="45"/>
        <v>0.45268811177167712</v>
      </c>
      <c r="T78" s="19">
        <f>IF($H78&gt;0,'Calculation Constants'!$B$9*Hydraulics!$K78^2/2/9.81/MAX($F$4:$F$253)*$H78,"")</f>
        <v>3.5282785359788842E-2</v>
      </c>
      <c r="U78" s="19">
        <f t="shared" si="46"/>
        <v>0.48797089713146596</v>
      </c>
      <c r="V78" s="19">
        <f t="shared" si="32"/>
        <v>0</v>
      </c>
      <c r="W78" s="19">
        <f t="shared" si="33"/>
        <v>294.73415361227717</v>
      </c>
      <c r="X78" s="23">
        <f t="shared" si="34"/>
        <v>1242.9081536122771</v>
      </c>
      <c r="Y78" s="22">
        <f>(1/(2*LOG(3.7*$I78/'Calculation Constants'!$B$3*1000)))^2</f>
        <v>9.4904462912918219E-3</v>
      </c>
      <c r="Z78" s="19">
        <f t="shared" si="35"/>
        <v>0.50734754464280807</v>
      </c>
      <c r="AA78" s="19">
        <f>IF($H78&gt;0,'Calculation Constants'!$B$9*Hydraulics!$K78^2/2/9.81/MAX($F$4:$F$253)*$H78,"")</f>
        <v>3.5282785359788842E-2</v>
      </c>
      <c r="AB78" s="19">
        <f t="shared" si="54"/>
        <v>0.54263033000259686</v>
      </c>
      <c r="AC78" s="19">
        <f t="shared" si="36"/>
        <v>0</v>
      </c>
      <c r="AD78" s="19">
        <f t="shared" si="47"/>
        <v>290.68935557981013</v>
      </c>
      <c r="AE78" s="23">
        <f t="shared" si="37"/>
        <v>1238.8633555798101</v>
      </c>
      <c r="AF78" s="27">
        <f>(1/(2*LOG(3.7*$I78/'Calculation Constants'!$B$4*1000)))^2</f>
        <v>1.1152845500629007E-2</v>
      </c>
      <c r="AG78" s="19">
        <f t="shared" si="38"/>
        <v>0.59621735446906032</v>
      </c>
      <c r="AH78" s="19">
        <f>IF($H78&gt;0,'Calculation Constants'!$B$9*Hydraulics!$K78^2/2/9.81/MAX($F$4:$F$253)*$H78,"")</f>
        <v>3.5282785359788842E-2</v>
      </c>
      <c r="AI78" s="19">
        <f t="shared" si="48"/>
        <v>0.63150013982884912</v>
      </c>
      <c r="AJ78" s="19">
        <f t="shared" si="39"/>
        <v>0</v>
      </c>
      <c r="AK78" s="19">
        <f t="shared" si="49"/>
        <v>284.11298965266451</v>
      </c>
      <c r="AL78" s="23">
        <f t="shared" si="40"/>
        <v>1232.2869896526645</v>
      </c>
      <c r="AM78" s="22">
        <f>(1/(2*LOG(3.7*($I78-0.008)/'Calculation Constants'!$B$5*1000)))^2</f>
        <v>1.4104604303736145E-2</v>
      </c>
      <c r="AN78" s="19">
        <f t="shared" si="50"/>
        <v>0.75676661531854661</v>
      </c>
      <c r="AO78" s="19">
        <f>IF($H78&gt;0,'Calculation Constants'!$B$9*Hydraulics!$K78^2/2/9.81/MAX($F$4:$F$253)*$H78,"")</f>
        <v>3.5282785359788842E-2</v>
      </c>
      <c r="AP78" s="19">
        <f t="shared" si="51"/>
        <v>0.7920494006783354</v>
      </c>
      <c r="AQ78" s="19">
        <f t="shared" si="41"/>
        <v>0</v>
      </c>
      <c r="AR78" s="19">
        <f t="shared" si="52"/>
        <v>272.23234434980941</v>
      </c>
      <c r="AS78" s="23">
        <f t="shared" si="42"/>
        <v>1220.4063443498094</v>
      </c>
    </row>
    <row r="79" spans="5:45">
      <c r="E79" s="35" t="str">
        <f t="shared" si="28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3"/>
        <v>2</v>
      </c>
      <c r="I79" s="19">
        <v>2.2000000000000002</v>
      </c>
      <c r="J79" s="36">
        <f>'Flow Rate Calculations'!$B$7</f>
        <v>4.0831050228310497</v>
      </c>
      <c r="K79" s="36">
        <f t="shared" si="43"/>
        <v>1.0741261942924094</v>
      </c>
      <c r="L79" s="37">
        <f>$I79*$K79/'Calculation Constants'!$B$7</f>
        <v>2091219.139330355</v>
      </c>
      <c r="M79" s="37" t="str">
        <f t="shared" si="29"/>
        <v>Greater Dynamic Pressures</v>
      </c>
      <c r="N79" s="23">
        <f t="shared" si="44"/>
        <v>297.77918271514579</v>
      </c>
      <c r="O79" s="56">
        <f t="shared" si="30"/>
        <v>293.67972524980757</v>
      </c>
      <c r="P79" s="65">
        <f>MAX(I79*1000/'Calculation Constants'!$B$14,O79*10*I79*1000/2/('Calculation Constants'!$B$12*1000*'Calculation Constants'!$B$13))</f>
        <v>21.536513184985893</v>
      </c>
      <c r="Q79" s="67">
        <f t="shared" si="31"/>
        <v>2314063.123385014</v>
      </c>
      <c r="R79" s="27">
        <f>(1/(2*LOG(3.7*$I79/'Calculation Constants'!$B$2*1000)))^2</f>
        <v>8.4679866037394684E-3</v>
      </c>
      <c r="S79" s="19">
        <f t="shared" si="45"/>
        <v>0.45268811177167712</v>
      </c>
      <c r="T79" s="19">
        <f>IF($H79&gt;0,'Calculation Constants'!$B$9*Hydraulics!$K79^2/2/9.81/MAX($F$4:$F$253)*$H79,"")</f>
        <v>3.5282785359788842E-2</v>
      </c>
      <c r="U79" s="19">
        <f t="shared" si="46"/>
        <v>0.48797089713146596</v>
      </c>
      <c r="V79" s="19">
        <f t="shared" si="32"/>
        <v>0</v>
      </c>
      <c r="W79" s="19">
        <f t="shared" si="33"/>
        <v>297.77918271514579</v>
      </c>
      <c r="X79" s="23">
        <f t="shared" si="34"/>
        <v>1242.4201827151458</v>
      </c>
      <c r="Y79" s="22">
        <f>(1/(2*LOG(3.7*$I79/'Calculation Constants'!$B$3*1000)))^2</f>
        <v>9.4904462912918219E-3</v>
      </c>
      <c r="Z79" s="19">
        <f t="shared" si="35"/>
        <v>0.50734754464280807</v>
      </c>
      <c r="AA79" s="19">
        <f>IF($H79&gt;0,'Calculation Constants'!$B$9*Hydraulics!$K79^2/2/9.81/MAX($F$4:$F$253)*$H79,"")</f>
        <v>3.5282785359788842E-2</v>
      </c>
      <c r="AB79" s="19">
        <f t="shared" si="54"/>
        <v>0.54263033000259686</v>
      </c>
      <c r="AC79" s="19">
        <f t="shared" si="36"/>
        <v>0</v>
      </c>
      <c r="AD79" s="19">
        <f t="shared" si="47"/>
        <v>293.67972524980757</v>
      </c>
      <c r="AE79" s="23">
        <f t="shared" si="37"/>
        <v>1238.3207252498075</v>
      </c>
      <c r="AF79" s="27">
        <f>(1/(2*LOG(3.7*$I79/'Calculation Constants'!$B$4*1000)))^2</f>
        <v>1.1152845500629007E-2</v>
      </c>
      <c r="AG79" s="19">
        <f t="shared" si="38"/>
        <v>0.59621735446906032</v>
      </c>
      <c r="AH79" s="19">
        <f>IF($H79&gt;0,'Calculation Constants'!$B$9*Hydraulics!$K79^2/2/9.81/MAX($F$4:$F$253)*$H79,"")</f>
        <v>3.5282785359788842E-2</v>
      </c>
      <c r="AI79" s="19">
        <f t="shared" si="48"/>
        <v>0.63150013982884912</v>
      </c>
      <c r="AJ79" s="19">
        <f t="shared" si="39"/>
        <v>0</v>
      </c>
      <c r="AK79" s="19">
        <f t="shared" si="49"/>
        <v>287.01448951283567</v>
      </c>
      <c r="AL79" s="23">
        <f t="shared" si="40"/>
        <v>1231.6554895128356</v>
      </c>
      <c r="AM79" s="22">
        <f>(1/(2*LOG(3.7*($I79-0.008)/'Calculation Constants'!$B$5*1000)))^2</f>
        <v>1.4104604303736145E-2</v>
      </c>
      <c r="AN79" s="19">
        <f t="shared" si="50"/>
        <v>0.75676661531854661</v>
      </c>
      <c r="AO79" s="19">
        <f>IF($H79&gt;0,'Calculation Constants'!$B$9*Hydraulics!$K79^2/2/9.81/MAX($F$4:$F$253)*$H79,"")</f>
        <v>3.5282785359788842E-2</v>
      </c>
      <c r="AP79" s="19">
        <f t="shared" si="51"/>
        <v>0.7920494006783354</v>
      </c>
      <c r="AQ79" s="19">
        <f t="shared" si="41"/>
        <v>0</v>
      </c>
      <c r="AR79" s="19">
        <f t="shared" si="52"/>
        <v>274.97329494913117</v>
      </c>
      <c r="AS79" s="23">
        <f t="shared" si="42"/>
        <v>1219.6142949491311</v>
      </c>
    </row>
    <row r="80" spans="5:45">
      <c r="E80" s="35" t="str">
        <f t="shared" si="28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3"/>
        <v>2</v>
      </c>
      <c r="I80" s="19">
        <v>2.2000000000000002</v>
      </c>
      <c r="J80" s="36">
        <f>'Flow Rate Calculations'!$B$7</f>
        <v>4.0831050228310497</v>
      </c>
      <c r="K80" s="36">
        <f t="shared" si="43"/>
        <v>1.0741261942924094</v>
      </c>
      <c r="L80" s="37">
        <f>$I80*$K80/'Calculation Constants'!$B$7</f>
        <v>2091219.139330355</v>
      </c>
      <c r="M80" s="37" t="str">
        <f t="shared" si="29"/>
        <v>Greater Dynamic Pressures</v>
      </c>
      <c r="N80" s="23">
        <f t="shared" si="44"/>
        <v>300.36621181801434</v>
      </c>
      <c r="O80" s="56">
        <f t="shared" si="30"/>
        <v>296.21209491980494</v>
      </c>
      <c r="P80" s="65">
        <f>MAX(I80*1000/'Calculation Constants'!$B$14,O80*10*I80*1000/2/('Calculation Constants'!$B$12*1000*'Calculation Constants'!$B$13))</f>
        <v>21.72222029411903</v>
      </c>
      <c r="Q80" s="67">
        <f t="shared" si="31"/>
        <v>2333818.0810199161</v>
      </c>
      <c r="R80" s="27">
        <f>(1/(2*LOG(3.7*$I80/'Calculation Constants'!$B$2*1000)))^2</f>
        <v>8.4679866037394684E-3</v>
      </c>
      <c r="S80" s="19">
        <f t="shared" si="45"/>
        <v>0.45268811177167712</v>
      </c>
      <c r="T80" s="19">
        <f>IF($H80&gt;0,'Calculation Constants'!$B$9*Hydraulics!$K80^2/2/9.81/MAX($F$4:$F$253)*$H80,"")</f>
        <v>3.5282785359788842E-2</v>
      </c>
      <c r="U80" s="19">
        <f t="shared" si="46"/>
        <v>0.48797089713146596</v>
      </c>
      <c r="V80" s="19">
        <f t="shared" si="32"/>
        <v>0</v>
      </c>
      <c r="W80" s="19">
        <f t="shared" si="33"/>
        <v>300.36621181801434</v>
      </c>
      <c r="X80" s="23">
        <f t="shared" si="34"/>
        <v>1241.9322118180144</v>
      </c>
      <c r="Y80" s="22">
        <f>(1/(2*LOG(3.7*$I80/'Calculation Constants'!$B$3*1000)))^2</f>
        <v>9.4904462912918219E-3</v>
      </c>
      <c r="Z80" s="19">
        <f t="shared" si="35"/>
        <v>0.50734754464280807</v>
      </c>
      <c r="AA80" s="19">
        <f>IF($H80&gt;0,'Calculation Constants'!$B$9*Hydraulics!$K80^2/2/9.81/MAX($F$4:$F$253)*$H80,"")</f>
        <v>3.5282785359788842E-2</v>
      </c>
      <c r="AB80" s="19">
        <f t="shared" si="54"/>
        <v>0.54263033000259686</v>
      </c>
      <c r="AC80" s="19">
        <f t="shared" si="36"/>
        <v>0</v>
      </c>
      <c r="AD80" s="19">
        <f t="shared" si="47"/>
        <v>296.21209491980494</v>
      </c>
      <c r="AE80" s="23">
        <f t="shared" si="37"/>
        <v>1237.778094919805</v>
      </c>
      <c r="AF80" s="27">
        <f>(1/(2*LOG(3.7*$I80/'Calculation Constants'!$B$4*1000)))^2</f>
        <v>1.1152845500629007E-2</v>
      </c>
      <c r="AG80" s="19">
        <f t="shared" si="38"/>
        <v>0.59621735446906032</v>
      </c>
      <c r="AH80" s="19">
        <f>IF($H80&gt;0,'Calculation Constants'!$B$9*Hydraulics!$K80^2/2/9.81/MAX($F$4:$F$253)*$H80,"")</f>
        <v>3.5282785359788842E-2</v>
      </c>
      <c r="AI80" s="19">
        <f t="shared" si="48"/>
        <v>0.63150013982884912</v>
      </c>
      <c r="AJ80" s="19">
        <f t="shared" si="39"/>
        <v>0</v>
      </c>
      <c r="AK80" s="19">
        <f t="shared" si="49"/>
        <v>289.45798937300674</v>
      </c>
      <c r="AL80" s="23">
        <f t="shared" si="40"/>
        <v>1231.0239893730068</v>
      </c>
      <c r="AM80" s="22">
        <f>(1/(2*LOG(3.7*($I80-0.008)/'Calculation Constants'!$B$5*1000)))^2</f>
        <v>1.4104604303736145E-2</v>
      </c>
      <c r="AN80" s="19">
        <f t="shared" si="50"/>
        <v>0.75676661531854661</v>
      </c>
      <c r="AO80" s="19">
        <f>IF($H80&gt;0,'Calculation Constants'!$B$9*Hydraulics!$K80^2/2/9.81/MAX($F$4:$F$253)*$H80,"")</f>
        <v>3.5282785359788842E-2</v>
      </c>
      <c r="AP80" s="19">
        <f t="shared" si="51"/>
        <v>0.7920494006783354</v>
      </c>
      <c r="AQ80" s="19">
        <f t="shared" si="41"/>
        <v>0</v>
      </c>
      <c r="AR80" s="19">
        <f t="shared" si="52"/>
        <v>277.25624554845285</v>
      </c>
      <c r="AS80" s="23">
        <f t="shared" si="42"/>
        <v>1218.8222455484529</v>
      </c>
    </row>
    <row r="81" spans="5:45">
      <c r="E81" s="35" t="str">
        <f t="shared" si="28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3"/>
        <v>2</v>
      </c>
      <c r="I81" s="19">
        <v>2.2000000000000002</v>
      </c>
      <c r="J81" s="36">
        <f>'Flow Rate Calculations'!$B$7</f>
        <v>4.0831050228310497</v>
      </c>
      <c r="K81" s="36">
        <f t="shared" si="43"/>
        <v>1.0741261942924094</v>
      </c>
      <c r="L81" s="37">
        <f>$I81*$K81/'Calculation Constants'!$B$7</f>
        <v>2091219.139330355</v>
      </c>
      <c r="M81" s="37" t="str">
        <f t="shared" si="29"/>
        <v>Greater Dynamic Pressures</v>
      </c>
      <c r="N81" s="23">
        <f t="shared" si="44"/>
        <v>300.50224092088297</v>
      </c>
      <c r="O81" s="56">
        <f t="shared" si="30"/>
        <v>296.2934645898024</v>
      </c>
      <c r="P81" s="65">
        <f>MAX(I81*1000/'Calculation Constants'!$B$14,O81*10*I81*1000/2/('Calculation Constants'!$B$12*1000*'Calculation Constants'!$B$13))</f>
        <v>21.728187403252178</v>
      </c>
      <c r="Q81" s="67">
        <f t="shared" si="31"/>
        <v>2334452.7875340185</v>
      </c>
      <c r="R81" s="27">
        <f>(1/(2*LOG(3.7*$I81/'Calculation Constants'!$B$2*1000)))^2</f>
        <v>8.4679866037394684E-3</v>
      </c>
      <c r="S81" s="19">
        <f t="shared" si="45"/>
        <v>0.45268811177167712</v>
      </c>
      <c r="T81" s="19">
        <f>IF($H81&gt;0,'Calculation Constants'!$B$9*Hydraulics!$K81^2/2/9.81/MAX($F$4:$F$253)*$H81,"")</f>
        <v>3.5282785359788842E-2</v>
      </c>
      <c r="U81" s="19">
        <f t="shared" si="46"/>
        <v>0.48797089713146596</v>
      </c>
      <c r="V81" s="19">
        <f t="shared" si="32"/>
        <v>0</v>
      </c>
      <c r="W81" s="19">
        <f t="shared" si="33"/>
        <v>300.50224092088297</v>
      </c>
      <c r="X81" s="23">
        <f t="shared" si="34"/>
        <v>1241.444240920883</v>
      </c>
      <c r="Y81" s="22">
        <f>(1/(2*LOG(3.7*$I81/'Calculation Constants'!$B$3*1000)))^2</f>
        <v>9.4904462912918219E-3</v>
      </c>
      <c r="Z81" s="19">
        <f t="shared" si="35"/>
        <v>0.50734754464280807</v>
      </c>
      <c r="AA81" s="19">
        <f>IF($H81&gt;0,'Calculation Constants'!$B$9*Hydraulics!$K81^2/2/9.81/MAX($F$4:$F$253)*$H81,"")</f>
        <v>3.5282785359788842E-2</v>
      </c>
      <c r="AB81" s="19">
        <f t="shared" si="54"/>
        <v>0.54263033000259686</v>
      </c>
      <c r="AC81" s="19">
        <f t="shared" si="36"/>
        <v>0</v>
      </c>
      <c r="AD81" s="19">
        <f t="shared" si="47"/>
        <v>296.2934645898024</v>
      </c>
      <c r="AE81" s="23">
        <f t="shared" si="37"/>
        <v>1237.2354645898024</v>
      </c>
      <c r="AF81" s="27">
        <f>(1/(2*LOG(3.7*$I81/'Calculation Constants'!$B$4*1000)))^2</f>
        <v>1.1152845500629007E-2</v>
      </c>
      <c r="AG81" s="19">
        <f t="shared" si="38"/>
        <v>0.59621735446906032</v>
      </c>
      <c r="AH81" s="19">
        <f>IF($H81&gt;0,'Calculation Constants'!$B$9*Hydraulics!$K81^2/2/9.81/MAX($F$4:$F$253)*$H81,"")</f>
        <v>3.5282785359788842E-2</v>
      </c>
      <c r="AI81" s="19">
        <f t="shared" si="48"/>
        <v>0.63150013982884912</v>
      </c>
      <c r="AJ81" s="19">
        <f t="shared" si="39"/>
        <v>0</v>
      </c>
      <c r="AK81" s="19">
        <f t="shared" si="49"/>
        <v>289.4504892331779</v>
      </c>
      <c r="AL81" s="23">
        <f t="shared" si="40"/>
        <v>1230.3924892331779</v>
      </c>
      <c r="AM81" s="22">
        <f>(1/(2*LOG(3.7*($I81-0.008)/'Calculation Constants'!$B$5*1000)))^2</f>
        <v>1.4104604303736145E-2</v>
      </c>
      <c r="AN81" s="19">
        <f t="shared" si="50"/>
        <v>0.75676661531854661</v>
      </c>
      <c r="AO81" s="19">
        <f>IF($H81&gt;0,'Calculation Constants'!$B$9*Hydraulics!$K81^2/2/9.81/MAX($F$4:$F$253)*$H81,"")</f>
        <v>3.5282785359788842E-2</v>
      </c>
      <c r="AP81" s="19">
        <f t="shared" si="51"/>
        <v>0.7920494006783354</v>
      </c>
      <c r="AQ81" s="19">
        <f t="shared" si="41"/>
        <v>0</v>
      </c>
      <c r="AR81" s="19">
        <f t="shared" si="52"/>
        <v>277.08819614777462</v>
      </c>
      <c r="AS81" s="23">
        <f t="shared" si="42"/>
        <v>1218.0301961477746</v>
      </c>
    </row>
    <row r="82" spans="5:45">
      <c r="E82" s="35" t="str">
        <f t="shared" si="28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3"/>
        <v>2</v>
      </c>
      <c r="I82" s="19">
        <v>2.2000000000000002</v>
      </c>
      <c r="J82" s="36">
        <f>'Flow Rate Calculations'!$B$7</f>
        <v>4.0831050228310497</v>
      </c>
      <c r="K82" s="36">
        <f t="shared" si="43"/>
        <v>1.0741261942924094</v>
      </c>
      <c r="L82" s="37">
        <f>$I82*$K82/'Calculation Constants'!$B$7</f>
        <v>2091219.139330355</v>
      </c>
      <c r="M82" s="37" t="str">
        <f t="shared" si="29"/>
        <v>Greater Dynamic Pressures</v>
      </c>
      <c r="N82" s="23">
        <f t="shared" si="44"/>
        <v>301.23027002375159</v>
      </c>
      <c r="O82" s="56">
        <f t="shared" si="30"/>
        <v>296.96683425979984</v>
      </c>
      <c r="P82" s="65">
        <f>MAX(I82*1000/'Calculation Constants'!$B$14,O82*10*I82*1000/2/('Calculation Constants'!$B$12*1000*'Calculation Constants'!$B$13))</f>
        <v>21.777567845718657</v>
      </c>
      <c r="Q82" s="67">
        <f t="shared" si="31"/>
        <v>2339705.1272202334</v>
      </c>
      <c r="R82" s="27">
        <f>(1/(2*LOG(3.7*$I82/'Calculation Constants'!$B$2*1000)))^2</f>
        <v>8.4679866037394684E-3</v>
      </c>
      <c r="S82" s="19">
        <f t="shared" si="45"/>
        <v>0.45268811177167712</v>
      </c>
      <c r="T82" s="19">
        <f>IF($H82&gt;0,'Calculation Constants'!$B$9*Hydraulics!$K82^2/2/9.81/MAX($F$4:$F$253)*$H82,"")</f>
        <v>3.5282785359788842E-2</v>
      </c>
      <c r="U82" s="19">
        <f t="shared" si="46"/>
        <v>0.48797089713146596</v>
      </c>
      <c r="V82" s="19">
        <f t="shared" si="32"/>
        <v>0</v>
      </c>
      <c r="W82" s="19">
        <f t="shared" si="33"/>
        <v>301.23027002375159</v>
      </c>
      <c r="X82" s="23">
        <f t="shared" si="34"/>
        <v>1240.9562700237516</v>
      </c>
      <c r="Y82" s="22">
        <f>(1/(2*LOG(3.7*$I82/'Calculation Constants'!$B$3*1000)))^2</f>
        <v>9.4904462912918219E-3</v>
      </c>
      <c r="Z82" s="19">
        <f t="shared" si="35"/>
        <v>0.50734754464280807</v>
      </c>
      <c r="AA82" s="19">
        <f>IF($H82&gt;0,'Calculation Constants'!$B$9*Hydraulics!$K82^2/2/9.81/MAX($F$4:$F$253)*$H82,"")</f>
        <v>3.5282785359788842E-2</v>
      </c>
      <c r="AB82" s="19">
        <f t="shared" si="54"/>
        <v>0.54263033000259686</v>
      </c>
      <c r="AC82" s="19">
        <f t="shared" si="36"/>
        <v>0</v>
      </c>
      <c r="AD82" s="19">
        <f t="shared" si="47"/>
        <v>296.96683425979984</v>
      </c>
      <c r="AE82" s="23">
        <f t="shared" si="37"/>
        <v>1236.6928342597998</v>
      </c>
      <c r="AF82" s="27">
        <f>(1/(2*LOG(3.7*$I82/'Calculation Constants'!$B$4*1000)))^2</f>
        <v>1.1152845500629007E-2</v>
      </c>
      <c r="AG82" s="19">
        <f t="shared" si="38"/>
        <v>0.59621735446906032</v>
      </c>
      <c r="AH82" s="19">
        <f>IF($H82&gt;0,'Calculation Constants'!$B$9*Hydraulics!$K82^2/2/9.81/MAX($F$4:$F$253)*$H82,"")</f>
        <v>3.5282785359788842E-2</v>
      </c>
      <c r="AI82" s="19">
        <f t="shared" si="48"/>
        <v>0.63150013982884912</v>
      </c>
      <c r="AJ82" s="19">
        <f t="shared" si="39"/>
        <v>0</v>
      </c>
      <c r="AK82" s="19">
        <f t="shared" si="49"/>
        <v>290.03498909334905</v>
      </c>
      <c r="AL82" s="23">
        <f t="shared" si="40"/>
        <v>1229.7609890933491</v>
      </c>
      <c r="AM82" s="22">
        <f>(1/(2*LOG(3.7*($I82-0.008)/'Calculation Constants'!$B$5*1000)))^2</f>
        <v>1.4104604303736145E-2</v>
      </c>
      <c r="AN82" s="19">
        <f t="shared" si="50"/>
        <v>0.75676661531854661</v>
      </c>
      <c r="AO82" s="19">
        <f>IF($H82&gt;0,'Calculation Constants'!$B$9*Hydraulics!$K82^2/2/9.81/MAX($F$4:$F$253)*$H82,"")</f>
        <v>3.5282785359788842E-2</v>
      </c>
      <c r="AP82" s="19">
        <f t="shared" si="51"/>
        <v>0.7920494006783354</v>
      </c>
      <c r="AQ82" s="19">
        <f t="shared" si="41"/>
        <v>0</v>
      </c>
      <c r="AR82" s="19">
        <f t="shared" si="52"/>
        <v>277.51214674709638</v>
      </c>
      <c r="AS82" s="23">
        <f t="shared" si="42"/>
        <v>1217.2381467470964</v>
      </c>
    </row>
    <row r="83" spans="5:45">
      <c r="E83" s="35" t="str">
        <f t="shared" si="28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3"/>
        <v>2</v>
      </c>
      <c r="I83" s="19">
        <v>2.2000000000000002</v>
      </c>
      <c r="J83" s="36">
        <f>'Flow Rate Calculations'!$B$7</f>
        <v>4.0831050228310497</v>
      </c>
      <c r="K83" s="36">
        <f t="shared" si="43"/>
        <v>1.0741261942924094</v>
      </c>
      <c r="L83" s="37">
        <f>$I83*$K83/'Calculation Constants'!$B$7</f>
        <v>2091219.139330355</v>
      </c>
      <c r="M83" s="37" t="str">
        <f t="shared" si="29"/>
        <v>Greater Dynamic Pressures</v>
      </c>
      <c r="N83" s="23">
        <f t="shared" si="44"/>
        <v>303.73029912662014</v>
      </c>
      <c r="O83" s="56">
        <f t="shared" si="30"/>
        <v>299.41220392979722</v>
      </c>
      <c r="P83" s="65">
        <f>MAX(I83*1000/'Calculation Constants'!$B$14,O83*10*I83*1000/2/('Calculation Constants'!$B$12*1000*'Calculation Constants'!$B$13))</f>
        <v>21.956894954851798</v>
      </c>
      <c r="Q83" s="67">
        <f t="shared" si="31"/>
        <v>2358777.1920503518</v>
      </c>
      <c r="R83" s="27">
        <f>(1/(2*LOG(3.7*$I83/'Calculation Constants'!$B$2*1000)))^2</f>
        <v>8.4679866037394684E-3</v>
      </c>
      <c r="S83" s="19">
        <f t="shared" si="45"/>
        <v>0.45268811177167712</v>
      </c>
      <c r="T83" s="19">
        <f>IF($H83&gt;0,'Calculation Constants'!$B$9*Hydraulics!$K83^2/2/9.81/MAX($F$4:$F$253)*$H83,"")</f>
        <v>3.5282785359788842E-2</v>
      </c>
      <c r="U83" s="19">
        <f t="shared" si="46"/>
        <v>0.48797089713146596</v>
      </c>
      <c r="V83" s="19">
        <f t="shared" si="32"/>
        <v>0</v>
      </c>
      <c r="W83" s="19">
        <f t="shared" si="33"/>
        <v>303.73029912662014</v>
      </c>
      <c r="X83" s="23">
        <f t="shared" si="34"/>
        <v>1240.4682991266202</v>
      </c>
      <c r="Y83" s="22">
        <f>(1/(2*LOG(3.7*$I83/'Calculation Constants'!$B$3*1000)))^2</f>
        <v>9.4904462912918219E-3</v>
      </c>
      <c r="Z83" s="19">
        <f t="shared" si="35"/>
        <v>0.50734754464280807</v>
      </c>
      <c r="AA83" s="19">
        <f>IF($H83&gt;0,'Calculation Constants'!$B$9*Hydraulics!$K83^2/2/9.81/MAX($F$4:$F$253)*$H83,"")</f>
        <v>3.5282785359788842E-2</v>
      </c>
      <c r="AB83" s="19">
        <f t="shared" si="54"/>
        <v>0.54263033000259686</v>
      </c>
      <c r="AC83" s="19">
        <f t="shared" si="36"/>
        <v>0</v>
      </c>
      <c r="AD83" s="19">
        <f t="shared" si="47"/>
        <v>299.41220392979722</v>
      </c>
      <c r="AE83" s="23">
        <f t="shared" si="37"/>
        <v>1236.1502039297973</v>
      </c>
      <c r="AF83" s="27">
        <f>(1/(2*LOG(3.7*$I83/'Calculation Constants'!$B$4*1000)))^2</f>
        <v>1.1152845500629007E-2</v>
      </c>
      <c r="AG83" s="19">
        <f t="shared" si="38"/>
        <v>0.59621735446906032</v>
      </c>
      <c r="AH83" s="19">
        <f>IF($H83&gt;0,'Calculation Constants'!$B$9*Hydraulics!$K83^2/2/9.81/MAX($F$4:$F$253)*$H83,"")</f>
        <v>3.5282785359788842E-2</v>
      </c>
      <c r="AI83" s="19">
        <f t="shared" si="48"/>
        <v>0.63150013982884912</v>
      </c>
      <c r="AJ83" s="19">
        <f t="shared" si="39"/>
        <v>0</v>
      </c>
      <c r="AK83" s="19">
        <f t="shared" si="49"/>
        <v>292.39148895352014</v>
      </c>
      <c r="AL83" s="23">
        <f t="shared" si="40"/>
        <v>1229.1294889535202</v>
      </c>
      <c r="AM83" s="22">
        <f>(1/(2*LOG(3.7*($I83-0.008)/'Calculation Constants'!$B$5*1000)))^2</f>
        <v>1.4104604303736145E-2</v>
      </c>
      <c r="AN83" s="19">
        <f t="shared" si="50"/>
        <v>0.75676661531854661</v>
      </c>
      <c r="AO83" s="19">
        <f>IF($H83&gt;0,'Calculation Constants'!$B$9*Hydraulics!$K83^2/2/9.81/MAX($F$4:$F$253)*$H83,"")</f>
        <v>3.5282785359788842E-2</v>
      </c>
      <c r="AP83" s="19">
        <f t="shared" si="51"/>
        <v>0.7920494006783354</v>
      </c>
      <c r="AQ83" s="19">
        <f t="shared" si="41"/>
        <v>0</v>
      </c>
      <c r="AR83" s="19">
        <f t="shared" si="52"/>
        <v>279.70809734641807</v>
      </c>
      <c r="AS83" s="23">
        <f t="shared" si="42"/>
        <v>1216.4460973464181</v>
      </c>
    </row>
    <row r="84" spans="5:45">
      <c r="E84" s="35" t="str">
        <f t="shared" si="28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3"/>
        <v>2</v>
      </c>
      <c r="I84" s="19">
        <v>2.2000000000000002</v>
      </c>
      <c r="J84" s="36">
        <f>'Flow Rate Calculations'!$B$7</f>
        <v>4.0831050228310497</v>
      </c>
      <c r="K84" s="36">
        <f t="shared" si="43"/>
        <v>1.0741261942924094</v>
      </c>
      <c r="L84" s="37">
        <f>$I84*$K84/'Calculation Constants'!$B$7</f>
        <v>2091219.139330355</v>
      </c>
      <c r="M84" s="37" t="str">
        <f t="shared" si="29"/>
        <v>Greater Dynamic Pressures</v>
      </c>
      <c r="N84" s="23">
        <f t="shared" si="44"/>
        <v>306.33032822948883</v>
      </c>
      <c r="O84" s="56">
        <f t="shared" si="30"/>
        <v>301.95757359979473</v>
      </c>
      <c r="P84" s="65">
        <f>MAX(I84*1000/'Calculation Constants'!$B$14,O84*10*I84*1000/2/('Calculation Constants'!$B$12*1000*'Calculation Constants'!$B$13))</f>
        <v>22.143555397318281</v>
      </c>
      <c r="Q84" s="67">
        <f t="shared" si="31"/>
        <v>2378625.8129907767</v>
      </c>
      <c r="R84" s="27">
        <f>(1/(2*LOG(3.7*$I84/'Calculation Constants'!$B$2*1000)))^2</f>
        <v>8.4679866037394684E-3</v>
      </c>
      <c r="S84" s="19">
        <f t="shared" si="45"/>
        <v>0.45268811177167712</v>
      </c>
      <c r="T84" s="19">
        <f>IF($H84&gt;0,'Calculation Constants'!$B$9*Hydraulics!$K84^2/2/9.81/MAX($F$4:$F$253)*$H84,"")</f>
        <v>3.5282785359788842E-2</v>
      </c>
      <c r="U84" s="19">
        <f t="shared" si="46"/>
        <v>0.48797089713146596</v>
      </c>
      <c r="V84" s="19">
        <f t="shared" si="32"/>
        <v>0</v>
      </c>
      <c r="W84" s="19">
        <f t="shared" si="33"/>
        <v>306.33032822948883</v>
      </c>
      <c r="X84" s="23">
        <f t="shared" si="34"/>
        <v>1239.9803282294888</v>
      </c>
      <c r="Y84" s="22">
        <f>(1/(2*LOG(3.7*$I84/'Calculation Constants'!$B$3*1000)))^2</f>
        <v>9.4904462912918219E-3</v>
      </c>
      <c r="Z84" s="19">
        <f t="shared" si="35"/>
        <v>0.50734754464280807</v>
      </c>
      <c r="AA84" s="19">
        <f>IF($H84&gt;0,'Calculation Constants'!$B$9*Hydraulics!$K84^2/2/9.81/MAX($F$4:$F$253)*$H84,"")</f>
        <v>3.5282785359788842E-2</v>
      </c>
      <c r="AB84" s="19">
        <f t="shared" si="54"/>
        <v>0.54263033000259686</v>
      </c>
      <c r="AC84" s="19">
        <f t="shared" si="36"/>
        <v>0</v>
      </c>
      <c r="AD84" s="19">
        <f t="shared" si="47"/>
        <v>301.95757359979473</v>
      </c>
      <c r="AE84" s="23">
        <f t="shared" si="37"/>
        <v>1235.6075735997947</v>
      </c>
      <c r="AF84" s="27">
        <f>(1/(2*LOG(3.7*$I84/'Calculation Constants'!$B$4*1000)))^2</f>
        <v>1.1152845500629007E-2</v>
      </c>
      <c r="AG84" s="19">
        <f t="shared" si="38"/>
        <v>0.59621735446906032</v>
      </c>
      <c r="AH84" s="19">
        <f>IF($H84&gt;0,'Calculation Constants'!$B$9*Hydraulics!$K84^2/2/9.81/MAX($F$4:$F$253)*$H84,"")</f>
        <v>3.5282785359788842E-2</v>
      </c>
      <c r="AI84" s="19">
        <f t="shared" si="48"/>
        <v>0.63150013982884912</v>
      </c>
      <c r="AJ84" s="19">
        <f t="shared" si="39"/>
        <v>0</v>
      </c>
      <c r="AK84" s="19">
        <f t="shared" si="49"/>
        <v>294.84798881369136</v>
      </c>
      <c r="AL84" s="23">
        <f t="shared" si="40"/>
        <v>1228.4979888136913</v>
      </c>
      <c r="AM84" s="22">
        <f>(1/(2*LOG(3.7*($I84-0.008)/'Calculation Constants'!$B$5*1000)))^2</f>
        <v>1.4104604303736145E-2</v>
      </c>
      <c r="AN84" s="19">
        <f t="shared" si="50"/>
        <v>0.75676661531854661</v>
      </c>
      <c r="AO84" s="19">
        <f>IF($H84&gt;0,'Calculation Constants'!$B$9*Hydraulics!$K84^2/2/9.81/MAX($F$4:$F$253)*$H84,"")</f>
        <v>3.5282785359788842E-2</v>
      </c>
      <c r="AP84" s="19">
        <f t="shared" si="51"/>
        <v>0.7920494006783354</v>
      </c>
      <c r="AQ84" s="19">
        <f t="shared" si="41"/>
        <v>0</v>
      </c>
      <c r="AR84" s="19">
        <f t="shared" si="52"/>
        <v>282.0040479457399</v>
      </c>
      <c r="AS84" s="23">
        <f t="shared" si="42"/>
        <v>1215.6540479457399</v>
      </c>
    </row>
    <row r="85" spans="5:45">
      <c r="E85" s="35" t="str">
        <f t="shared" si="28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3"/>
        <v>2</v>
      </c>
      <c r="I85" s="19">
        <v>2.2000000000000002</v>
      </c>
      <c r="J85" s="36">
        <f>'Flow Rate Calculations'!$B$7</f>
        <v>4.0831050228310497</v>
      </c>
      <c r="K85" s="36">
        <f t="shared" si="43"/>
        <v>1.0741261942924094</v>
      </c>
      <c r="L85" s="37">
        <f>$I85*$K85/'Calculation Constants'!$B$7</f>
        <v>2091219.139330355</v>
      </c>
      <c r="M85" s="37" t="str">
        <f t="shared" si="29"/>
        <v>Greater Dynamic Pressures</v>
      </c>
      <c r="N85" s="23">
        <f t="shared" si="44"/>
        <v>306.74735733235741</v>
      </c>
      <c r="O85" s="56">
        <f t="shared" si="30"/>
        <v>302.31994326979213</v>
      </c>
      <c r="P85" s="65">
        <f>MAX(I85*1000/'Calculation Constants'!$B$14,O85*10*I85*1000/2/('Calculation Constants'!$B$12*1000*'Calculation Constants'!$B$13))</f>
        <v>22.170129173118092</v>
      </c>
      <c r="Q85" s="67">
        <f t="shared" si="31"/>
        <v>2381451.2677411148</v>
      </c>
      <c r="R85" s="27">
        <f>(1/(2*LOG(3.7*$I85/'Calculation Constants'!$B$2*1000)))^2</f>
        <v>8.4679866037394684E-3</v>
      </c>
      <c r="S85" s="19">
        <f t="shared" si="45"/>
        <v>0.45268811177167712</v>
      </c>
      <c r="T85" s="19">
        <f>IF($H85&gt;0,'Calculation Constants'!$B$9*Hydraulics!$K85^2/2/9.81/MAX($F$4:$F$253)*$H85,"")</f>
        <v>3.5282785359788842E-2</v>
      </c>
      <c r="U85" s="19">
        <f t="shared" si="46"/>
        <v>0.48797089713146596</v>
      </c>
      <c r="V85" s="19">
        <f t="shared" si="32"/>
        <v>0</v>
      </c>
      <c r="W85" s="19">
        <f t="shared" si="33"/>
        <v>306.74735733235741</v>
      </c>
      <c r="X85" s="23">
        <f t="shared" si="34"/>
        <v>1239.4923573323574</v>
      </c>
      <c r="Y85" s="22">
        <f>(1/(2*LOG(3.7*$I85/'Calculation Constants'!$B$3*1000)))^2</f>
        <v>9.4904462912918219E-3</v>
      </c>
      <c r="Z85" s="19">
        <f t="shared" si="35"/>
        <v>0.50734754464280807</v>
      </c>
      <c r="AA85" s="19">
        <f>IF($H85&gt;0,'Calculation Constants'!$B$9*Hydraulics!$K85^2/2/9.81/MAX($F$4:$F$253)*$H85,"")</f>
        <v>3.5282785359788842E-2</v>
      </c>
      <c r="AB85" s="19">
        <f t="shared" si="54"/>
        <v>0.54263033000259686</v>
      </c>
      <c r="AC85" s="19">
        <f t="shared" si="36"/>
        <v>0</v>
      </c>
      <c r="AD85" s="19">
        <f t="shared" si="47"/>
        <v>302.31994326979213</v>
      </c>
      <c r="AE85" s="23">
        <f t="shared" si="37"/>
        <v>1235.0649432697921</v>
      </c>
      <c r="AF85" s="27">
        <f>(1/(2*LOG(3.7*$I85/'Calculation Constants'!$B$4*1000)))^2</f>
        <v>1.1152845500629007E-2</v>
      </c>
      <c r="AG85" s="19">
        <f t="shared" si="38"/>
        <v>0.59621735446906032</v>
      </c>
      <c r="AH85" s="19">
        <f>IF($H85&gt;0,'Calculation Constants'!$B$9*Hydraulics!$K85^2/2/9.81/MAX($F$4:$F$253)*$H85,"")</f>
        <v>3.5282785359788842E-2</v>
      </c>
      <c r="AI85" s="19">
        <f t="shared" si="48"/>
        <v>0.63150013982884912</v>
      </c>
      <c r="AJ85" s="19">
        <f t="shared" si="39"/>
        <v>0</v>
      </c>
      <c r="AK85" s="19">
        <f t="shared" si="49"/>
        <v>295.12148867386247</v>
      </c>
      <c r="AL85" s="23">
        <f t="shared" si="40"/>
        <v>1227.8664886738625</v>
      </c>
      <c r="AM85" s="22">
        <f>(1/(2*LOG(3.7*($I85-0.008)/'Calculation Constants'!$B$5*1000)))^2</f>
        <v>1.4104604303736145E-2</v>
      </c>
      <c r="AN85" s="19">
        <f t="shared" si="50"/>
        <v>0.75676661531854661</v>
      </c>
      <c r="AO85" s="19">
        <f>IF($H85&gt;0,'Calculation Constants'!$B$9*Hydraulics!$K85^2/2/9.81/MAX($F$4:$F$253)*$H85,"")</f>
        <v>3.5282785359788842E-2</v>
      </c>
      <c r="AP85" s="19">
        <f t="shared" si="51"/>
        <v>0.7920494006783354</v>
      </c>
      <c r="AQ85" s="19">
        <f t="shared" si="41"/>
        <v>0</v>
      </c>
      <c r="AR85" s="19">
        <f t="shared" si="52"/>
        <v>282.11699854506162</v>
      </c>
      <c r="AS85" s="23">
        <f t="shared" si="42"/>
        <v>1214.8619985450616</v>
      </c>
    </row>
    <row r="86" spans="5:45">
      <c r="E86" s="35" t="str">
        <f t="shared" si="28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3"/>
        <v>2</v>
      </c>
      <c r="I86" s="19">
        <v>2.2000000000000002</v>
      </c>
      <c r="J86" s="36">
        <f>'Flow Rate Calculations'!$B$7</f>
        <v>4.0831050228310497</v>
      </c>
      <c r="K86" s="36">
        <f t="shared" si="43"/>
        <v>1.0741261942924094</v>
      </c>
      <c r="L86" s="37">
        <f>$I86*$K86/'Calculation Constants'!$B$7</f>
        <v>2091219.139330355</v>
      </c>
      <c r="M86" s="37" t="str">
        <f t="shared" si="29"/>
        <v>Greater Dynamic Pressures</v>
      </c>
      <c r="N86" s="23">
        <f t="shared" si="44"/>
        <v>307.308386435226</v>
      </c>
      <c r="O86" s="56">
        <f t="shared" si="30"/>
        <v>302.82631293978955</v>
      </c>
      <c r="P86" s="65">
        <f>MAX(I86*1000/'Calculation Constants'!$B$14,O86*10*I86*1000/2/('Calculation Constants'!$B$12*1000*'Calculation Constants'!$B$13))</f>
        <v>22.207262948917901</v>
      </c>
      <c r="Q86" s="67">
        <f t="shared" si="31"/>
        <v>2385399.3970284574</v>
      </c>
      <c r="R86" s="27">
        <f>(1/(2*LOG(3.7*$I86/'Calculation Constants'!$B$2*1000)))^2</f>
        <v>8.4679866037394684E-3</v>
      </c>
      <c r="S86" s="19">
        <f t="shared" si="45"/>
        <v>0.45268811177167712</v>
      </c>
      <c r="T86" s="19">
        <f>IF($H86&gt;0,'Calculation Constants'!$B$9*Hydraulics!$K86^2/2/9.81/MAX($F$4:$F$253)*$H86,"")</f>
        <v>3.5282785359788842E-2</v>
      </c>
      <c r="U86" s="19">
        <f t="shared" si="46"/>
        <v>0.48797089713146596</v>
      </c>
      <c r="V86" s="19">
        <f t="shared" si="32"/>
        <v>0</v>
      </c>
      <c r="W86" s="19">
        <f t="shared" si="33"/>
        <v>307.308386435226</v>
      </c>
      <c r="X86" s="23">
        <f t="shared" si="34"/>
        <v>1239.004386435226</v>
      </c>
      <c r="Y86" s="22">
        <f>(1/(2*LOG(3.7*$I86/'Calculation Constants'!$B$3*1000)))^2</f>
        <v>9.4904462912918219E-3</v>
      </c>
      <c r="Z86" s="19">
        <f t="shared" si="35"/>
        <v>0.50734754464280807</v>
      </c>
      <c r="AA86" s="19">
        <f>IF($H86&gt;0,'Calculation Constants'!$B$9*Hydraulics!$K86^2/2/9.81/MAX($F$4:$F$253)*$H86,"")</f>
        <v>3.5282785359788842E-2</v>
      </c>
      <c r="AB86" s="19">
        <f t="shared" si="54"/>
        <v>0.54263033000259686</v>
      </c>
      <c r="AC86" s="19">
        <f t="shared" si="36"/>
        <v>0</v>
      </c>
      <c r="AD86" s="19">
        <f t="shared" si="47"/>
        <v>302.82631293978955</v>
      </c>
      <c r="AE86" s="23">
        <f t="shared" si="37"/>
        <v>1234.5223129397896</v>
      </c>
      <c r="AF86" s="27">
        <f>(1/(2*LOG(3.7*$I86/'Calculation Constants'!$B$4*1000)))^2</f>
        <v>1.1152845500629007E-2</v>
      </c>
      <c r="AG86" s="19">
        <f t="shared" si="38"/>
        <v>0.59621735446906032</v>
      </c>
      <c r="AH86" s="19">
        <f>IF($H86&gt;0,'Calculation Constants'!$B$9*Hydraulics!$K86^2/2/9.81/MAX($F$4:$F$253)*$H86,"")</f>
        <v>3.5282785359788842E-2</v>
      </c>
      <c r="AI86" s="19">
        <f t="shared" si="48"/>
        <v>0.63150013982884912</v>
      </c>
      <c r="AJ86" s="19">
        <f t="shared" si="39"/>
        <v>0</v>
      </c>
      <c r="AK86" s="19">
        <f t="shared" si="49"/>
        <v>295.53898853403359</v>
      </c>
      <c r="AL86" s="23">
        <f t="shared" si="40"/>
        <v>1227.2349885340336</v>
      </c>
      <c r="AM86" s="22">
        <f>(1/(2*LOG(3.7*($I86-0.008)/'Calculation Constants'!$B$5*1000)))^2</f>
        <v>1.4104604303736145E-2</v>
      </c>
      <c r="AN86" s="19">
        <f t="shared" si="50"/>
        <v>0.75676661531854661</v>
      </c>
      <c r="AO86" s="19">
        <f>IF($H86&gt;0,'Calculation Constants'!$B$9*Hydraulics!$K86^2/2/9.81/MAX($F$4:$F$253)*$H86,"")</f>
        <v>3.5282785359788842E-2</v>
      </c>
      <c r="AP86" s="19">
        <f t="shared" si="51"/>
        <v>0.7920494006783354</v>
      </c>
      <c r="AQ86" s="19">
        <f t="shared" si="41"/>
        <v>0</v>
      </c>
      <c r="AR86" s="19">
        <f t="shared" si="52"/>
        <v>282.37394914438335</v>
      </c>
      <c r="AS86" s="23">
        <f t="shared" si="42"/>
        <v>1214.0699491443834</v>
      </c>
    </row>
    <row r="87" spans="5:45">
      <c r="E87" s="35" t="str">
        <f t="shared" si="28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3"/>
        <v>2</v>
      </c>
      <c r="I87" s="19">
        <v>2.2000000000000002</v>
      </c>
      <c r="J87" s="36">
        <f>'Flow Rate Calculations'!$B$7</f>
        <v>4.0831050228310497</v>
      </c>
      <c r="K87" s="36">
        <f t="shared" si="43"/>
        <v>1.0741261942924094</v>
      </c>
      <c r="L87" s="37">
        <f>$I87*$K87/'Calculation Constants'!$B$7</f>
        <v>2091219.139330355</v>
      </c>
      <c r="M87" s="37" t="str">
        <f t="shared" si="29"/>
        <v>Greater Dynamic Pressures</v>
      </c>
      <c r="N87" s="23">
        <f t="shared" si="44"/>
        <v>307.51741553809461</v>
      </c>
      <c r="O87" s="56">
        <f t="shared" si="30"/>
        <v>302.98068260978698</v>
      </c>
      <c r="P87" s="65">
        <f>MAX(I87*1000/'Calculation Constants'!$B$14,O87*10*I87*1000/2/('Calculation Constants'!$B$12*1000*'Calculation Constants'!$B$13))</f>
        <v>22.218583391384382</v>
      </c>
      <c r="Q87" s="67">
        <f t="shared" si="31"/>
        <v>2386602.9796116338</v>
      </c>
      <c r="R87" s="27">
        <f>(1/(2*LOG(3.7*$I87/'Calculation Constants'!$B$2*1000)))^2</f>
        <v>8.4679866037394684E-3</v>
      </c>
      <c r="S87" s="19">
        <f t="shared" si="45"/>
        <v>0.45268811177167712</v>
      </c>
      <c r="T87" s="19">
        <f>IF($H87&gt;0,'Calculation Constants'!$B$9*Hydraulics!$K87^2/2/9.81/MAX($F$4:$F$253)*$H87,"")</f>
        <v>3.5282785359788842E-2</v>
      </c>
      <c r="U87" s="19">
        <f t="shared" si="46"/>
        <v>0.48797089713146596</v>
      </c>
      <c r="V87" s="19">
        <f t="shared" si="32"/>
        <v>0</v>
      </c>
      <c r="W87" s="19">
        <f t="shared" si="33"/>
        <v>307.51741553809461</v>
      </c>
      <c r="X87" s="23">
        <f t="shared" si="34"/>
        <v>1238.5164155380946</v>
      </c>
      <c r="Y87" s="22">
        <f>(1/(2*LOG(3.7*$I87/'Calculation Constants'!$B$3*1000)))^2</f>
        <v>9.4904462912918219E-3</v>
      </c>
      <c r="Z87" s="19">
        <f t="shared" si="35"/>
        <v>0.50734754464280807</v>
      </c>
      <c r="AA87" s="19">
        <f>IF($H87&gt;0,'Calculation Constants'!$B$9*Hydraulics!$K87^2/2/9.81/MAX($F$4:$F$253)*$H87,"")</f>
        <v>3.5282785359788842E-2</v>
      </c>
      <c r="AB87" s="19">
        <f t="shared" si="54"/>
        <v>0.54263033000259686</v>
      </c>
      <c r="AC87" s="19">
        <f t="shared" si="36"/>
        <v>0</v>
      </c>
      <c r="AD87" s="19">
        <f t="shared" si="47"/>
        <v>302.98068260978698</v>
      </c>
      <c r="AE87" s="23">
        <f t="shared" si="37"/>
        <v>1233.979682609787</v>
      </c>
      <c r="AF87" s="27">
        <f>(1/(2*LOG(3.7*$I87/'Calculation Constants'!$B$4*1000)))^2</f>
        <v>1.1152845500629007E-2</v>
      </c>
      <c r="AG87" s="19">
        <f t="shared" si="38"/>
        <v>0.59621735446906032</v>
      </c>
      <c r="AH87" s="19">
        <f>IF($H87&gt;0,'Calculation Constants'!$B$9*Hydraulics!$K87^2/2/9.81/MAX($F$4:$F$253)*$H87,"")</f>
        <v>3.5282785359788842E-2</v>
      </c>
      <c r="AI87" s="19">
        <f t="shared" si="48"/>
        <v>0.63150013982884912</v>
      </c>
      <c r="AJ87" s="19">
        <f t="shared" si="39"/>
        <v>0</v>
      </c>
      <c r="AK87" s="19">
        <f t="shared" si="49"/>
        <v>295.60448839420474</v>
      </c>
      <c r="AL87" s="23">
        <f t="shared" si="40"/>
        <v>1226.6034883942048</v>
      </c>
      <c r="AM87" s="22">
        <f>(1/(2*LOG(3.7*($I87-0.008)/'Calculation Constants'!$B$5*1000)))^2</f>
        <v>1.4104604303736145E-2</v>
      </c>
      <c r="AN87" s="19">
        <f t="shared" si="50"/>
        <v>0.75676661531854661</v>
      </c>
      <c r="AO87" s="19">
        <f>IF($H87&gt;0,'Calculation Constants'!$B$9*Hydraulics!$K87^2/2/9.81/MAX($F$4:$F$253)*$H87,"")</f>
        <v>3.5282785359788842E-2</v>
      </c>
      <c r="AP87" s="19">
        <f t="shared" si="51"/>
        <v>0.7920494006783354</v>
      </c>
      <c r="AQ87" s="19">
        <f t="shared" si="41"/>
        <v>0</v>
      </c>
      <c r="AR87" s="19">
        <f t="shared" si="52"/>
        <v>282.2788997437051</v>
      </c>
      <c r="AS87" s="23">
        <f t="shared" si="42"/>
        <v>1213.2778997437051</v>
      </c>
    </row>
    <row r="88" spans="5:45">
      <c r="E88" s="35" t="str">
        <f t="shared" si="28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3"/>
        <v>2</v>
      </c>
      <c r="I88" s="19">
        <v>2.2000000000000002</v>
      </c>
      <c r="J88" s="36">
        <f>'Flow Rate Calculations'!$B$7</f>
        <v>4.0831050228310497</v>
      </c>
      <c r="K88" s="36">
        <f t="shared" si="43"/>
        <v>1.0741261942924094</v>
      </c>
      <c r="L88" s="37">
        <f>$I88*$K88/'Calculation Constants'!$B$7</f>
        <v>2091219.139330355</v>
      </c>
      <c r="M88" s="37" t="str">
        <f t="shared" si="29"/>
        <v>Greater Dynamic Pressures</v>
      </c>
      <c r="N88" s="23">
        <f t="shared" si="44"/>
        <v>307.14344464096325</v>
      </c>
      <c r="O88" s="56">
        <f t="shared" si="30"/>
        <v>302.55205227978445</v>
      </c>
      <c r="P88" s="65">
        <f>MAX(I88*1000/'Calculation Constants'!$B$14,O88*10*I88*1000/2/('Calculation Constants'!$B$12*1000*'Calculation Constants'!$B$13))</f>
        <v>22.187150500517529</v>
      </c>
      <c r="Q88" s="67">
        <f t="shared" si="31"/>
        <v>2383261.0225204704</v>
      </c>
      <c r="R88" s="27">
        <f>(1/(2*LOG(3.7*$I88/'Calculation Constants'!$B$2*1000)))^2</f>
        <v>8.4679866037394684E-3</v>
      </c>
      <c r="S88" s="19">
        <f t="shared" si="45"/>
        <v>0.45268811177167712</v>
      </c>
      <c r="T88" s="19">
        <f>IF($H88&gt;0,'Calculation Constants'!$B$9*Hydraulics!$K88^2/2/9.81/MAX($F$4:$F$253)*$H88,"")</f>
        <v>3.5282785359788842E-2</v>
      </c>
      <c r="U88" s="19">
        <f t="shared" si="46"/>
        <v>0.48797089713146596</v>
      </c>
      <c r="V88" s="19">
        <f t="shared" si="32"/>
        <v>0</v>
      </c>
      <c r="W88" s="19">
        <f t="shared" si="33"/>
        <v>307.14344464096325</v>
      </c>
      <c r="X88" s="23">
        <f t="shared" si="34"/>
        <v>1238.0284446409632</v>
      </c>
      <c r="Y88" s="22">
        <f>(1/(2*LOG(3.7*$I88/'Calculation Constants'!$B$3*1000)))^2</f>
        <v>9.4904462912918219E-3</v>
      </c>
      <c r="Z88" s="19">
        <f t="shared" si="35"/>
        <v>0.50734754464280807</v>
      </c>
      <c r="AA88" s="19">
        <f>IF($H88&gt;0,'Calculation Constants'!$B$9*Hydraulics!$K88^2/2/9.81/MAX($F$4:$F$253)*$H88,"")</f>
        <v>3.5282785359788842E-2</v>
      </c>
      <c r="AB88" s="19">
        <f t="shared" si="54"/>
        <v>0.54263033000259686</v>
      </c>
      <c r="AC88" s="19">
        <f t="shared" si="36"/>
        <v>0</v>
      </c>
      <c r="AD88" s="19">
        <f t="shared" si="47"/>
        <v>302.55205227978445</v>
      </c>
      <c r="AE88" s="23">
        <f t="shared" si="37"/>
        <v>1233.4370522797844</v>
      </c>
      <c r="AF88" s="27">
        <f>(1/(2*LOG(3.7*$I88/'Calculation Constants'!$B$4*1000)))^2</f>
        <v>1.1152845500629007E-2</v>
      </c>
      <c r="AG88" s="19">
        <f t="shared" si="38"/>
        <v>0.59621735446906032</v>
      </c>
      <c r="AH88" s="19">
        <f>IF($H88&gt;0,'Calculation Constants'!$B$9*Hydraulics!$K88^2/2/9.81/MAX($F$4:$F$253)*$H88,"")</f>
        <v>3.5282785359788842E-2</v>
      </c>
      <c r="AI88" s="19">
        <f t="shared" si="48"/>
        <v>0.63150013982884912</v>
      </c>
      <c r="AJ88" s="19">
        <f t="shared" si="39"/>
        <v>0</v>
      </c>
      <c r="AK88" s="19">
        <f t="shared" si="49"/>
        <v>295.08698825437591</v>
      </c>
      <c r="AL88" s="23">
        <f t="shared" si="40"/>
        <v>1225.9719882543759</v>
      </c>
      <c r="AM88" s="22">
        <f>(1/(2*LOG(3.7*($I88-0.008)/'Calculation Constants'!$B$5*1000)))^2</f>
        <v>1.4104604303736145E-2</v>
      </c>
      <c r="AN88" s="19">
        <f t="shared" si="50"/>
        <v>0.75676661531854661</v>
      </c>
      <c r="AO88" s="19">
        <f>IF($H88&gt;0,'Calculation Constants'!$B$9*Hydraulics!$K88^2/2/9.81/MAX($F$4:$F$253)*$H88,"")</f>
        <v>3.5282785359788842E-2</v>
      </c>
      <c r="AP88" s="19">
        <f t="shared" si="51"/>
        <v>0.7920494006783354</v>
      </c>
      <c r="AQ88" s="19">
        <f t="shared" si="41"/>
        <v>0</v>
      </c>
      <c r="AR88" s="19">
        <f t="shared" si="52"/>
        <v>281.60085034302688</v>
      </c>
      <c r="AS88" s="23">
        <f t="shared" si="42"/>
        <v>1212.4858503430269</v>
      </c>
    </row>
    <row r="89" spans="5:45">
      <c r="E89" s="35" t="str">
        <f t="shared" si="28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3"/>
        <v>2</v>
      </c>
      <c r="I89" s="19">
        <v>2.2000000000000002</v>
      </c>
      <c r="J89" s="36">
        <f>'Flow Rate Calculations'!$B$7</f>
        <v>4.0831050228310497</v>
      </c>
      <c r="K89" s="36">
        <f t="shared" si="43"/>
        <v>1.0741261942924094</v>
      </c>
      <c r="L89" s="37">
        <f>$I89*$K89/'Calculation Constants'!$B$7</f>
        <v>2091219.139330355</v>
      </c>
      <c r="M89" s="37" t="str">
        <f t="shared" si="29"/>
        <v>Greater Dynamic Pressures</v>
      </c>
      <c r="N89" s="23">
        <f t="shared" si="44"/>
        <v>307.16247374383181</v>
      </c>
      <c r="O89" s="56">
        <f t="shared" si="30"/>
        <v>302.51642194978183</v>
      </c>
      <c r="P89" s="65">
        <f>MAX(I89*1000/'Calculation Constants'!$B$14,O89*10*I89*1000/2/('Calculation Constants'!$B$12*1000*'Calculation Constants'!$B$13))</f>
        <v>22.184537609650668</v>
      </c>
      <c r="Q89" s="67">
        <f t="shared" si="31"/>
        <v>2382983.2145671742</v>
      </c>
      <c r="R89" s="27">
        <f>(1/(2*LOG(3.7*$I89/'Calculation Constants'!$B$2*1000)))^2</f>
        <v>8.4679866037394684E-3</v>
      </c>
      <c r="S89" s="19">
        <f t="shared" si="45"/>
        <v>0.45268811177167712</v>
      </c>
      <c r="T89" s="19">
        <f>IF($H89&gt;0,'Calculation Constants'!$B$9*Hydraulics!$K89^2/2/9.81/MAX($F$4:$F$253)*$H89,"")</f>
        <v>3.5282785359788842E-2</v>
      </c>
      <c r="U89" s="19">
        <f t="shared" si="46"/>
        <v>0.48797089713146596</v>
      </c>
      <c r="V89" s="19">
        <f t="shared" si="32"/>
        <v>0</v>
      </c>
      <c r="W89" s="19">
        <f t="shared" si="33"/>
        <v>307.16247374383181</v>
      </c>
      <c r="X89" s="23">
        <f t="shared" si="34"/>
        <v>1237.5404737438319</v>
      </c>
      <c r="Y89" s="22">
        <f>(1/(2*LOG(3.7*$I89/'Calculation Constants'!$B$3*1000)))^2</f>
        <v>9.4904462912918219E-3</v>
      </c>
      <c r="Z89" s="19">
        <f t="shared" si="35"/>
        <v>0.50734754464280807</v>
      </c>
      <c r="AA89" s="19">
        <f>IF($H89&gt;0,'Calculation Constants'!$B$9*Hydraulics!$K89^2/2/9.81/MAX($F$4:$F$253)*$H89,"")</f>
        <v>3.5282785359788842E-2</v>
      </c>
      <c r="AB89" s="19">
        <f t="shared" si="54"/>
        <v>0.54263033000259686</v>
      </c>
      <c r="AC89" s="19">
        <f t="shared" si="36"/>
        <v>0</v>
      </c>
      <c r="AD89" s="19">
        <f t="shared" si="47"/>
        <v>302.51642194978183</v>
      </c>
      <c r="AE89" s="23">
        <f t="shared" si="37"/>
        <v>1232.8944219497819</v>
      </c>
      <c r="AF89" s="27">
        <f>(1/(2*LOG(3.7*$I89/'Calculation Constants'!$B$4*1000)))^2</f>
        <v>1.1152845500629007E-2</v>
      </c>
      <c r="AG89" s="19">
        <f t="shared" si="38"/>
        <v>0.59621735446906032</v>
      </c>
      <c r="AH89" s="19">
        <f>IF($H89&gt;0,'Calculation Constants'!$B$9*Hydraulics!$K89^2/2/9.81/MAX($F$4:$F$253)*$H89,"")</f>
        <v>3.5282785359788842E-2</v>
      </c>
      <c r="AI89" s="19">
        <f t="shared" si="48"/>
        <v>0.63150013982884912</v>
      </c>
      <c r="AJ89" s="19">
        <f t="shared" si="39"/>
        <v>0</v>
      </c>
      <c r="AK89" s="19">
        <f t="shared" si="49"/>
        <v>294.962488114547</v>
      </c>
      <c r="AL89" s="23">
        <f t="shared" si="40"/>
        <v>1225.340488114547</v>
      </c>
      <c r="AM89" s="22">
        <f>(1/(2*LOG(3.7*($I89-0.008)/'Calculation Constants'!$B$5*1000)))^2</f>
        <v>1.4104604303736145E-2</v>
      </c>
      <c r="AN89" s="19">
        <f t="shared" si="50"/>
        <v>0.75676661531854661</v>
      </c>
      <c r="AO89" s="19">
        <f>IF($H89&gt;0,'Calculation Constants'!$B$9*Hydraulics!$K89^2/2/9.81/MAX($F$4:$F$253)*$H89,"")</f>
        <v>3.5282785359788842E-2</v>
      </c>
      <c r="AP89" s="19">
        <f t="shared" si="51"/>
        <v>0.7920494006783354</v>
      </c>
      <c r="AQ89" s="19">
        <f t="shared" si="41"/>
        <v>0</v>
      </c>
      <c r="AR89" s="19">
        <f t="shared" si="52"/>
        <v>281.31580094234857</v>
      </c>
      <c r="AS89" s="23">
        <f t="shared" si="42"/>
        <v>1211.6938009423486</v>
      </c>
    </row>
    <row r="90" spans="5:45">
      <c r="E90" s="35" t="str">
        <f t="shared" si="28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3"/>
        <v>2</v>
      </c>
      <c r="I90" s="19">
        <v>2.2000000000000002</v>
      </c>
      <c r="J90" s="36">
        <f>'Flow Rate Calculations'!$B$7</f>
        <v>4.0831050228310497</v>
      </c>
      <c r="K90" s="36">
        <f t="shared" si="43"/>
        <v>1.0741261942924094</v>
      </c>
      <c r="L90" s="37">
        <f>$I90*$K90/'Calculation Constants'!$B$7</f>
        <v>2091219.139330355</v>
      </c>
      <c r="M90" s="37" t="str">
        <f t="shared" si="29"/>
        <v>Greater Dynamic Pressures</v>
      </c>
      <c r="N90" s="23">
        <f t="shared" si="44"/>
        <v>305.72850284670051</v>
      </c>
      <c r="O90" s="56">
        <f t="shared" si="30"/>
        <v>301.02779161977935</v>
      </c>
      <c r="P90" s="65">
        <f>MAX(I90*1000/'Calculation Constants'!$B$14,O90*10*I90*1000/2/('Calculation Constants'!$B$12*1000*'Calculation Constants'!$B$13))</f>
        <v>22.075371385450488</v>
      </c>
      <c r="Q90" s="67">
        <f t="shared" si="31"/>
        <v>2371375.8342877091</v>
      </c>
      <c r="R90" s="27">
        <f>(1/(2*LOG(3.7*$I90/'Calculation Constants'!$B$2*1000)))^2</f>
        <v>8.4679866037394684E-3</v>
      </c>
      <c r="S90" s="19">
        <f t="shared" si="45"/>
        <v>0.45268811177167712</v>
      </c>
      <c r="T90" s="19">
        <f>IF($H90&gt;0,'Calculation Constants'!$B$9*Hydraulics!$K90^2/2/9.81/MAX($F$4:$F$253)*$H90,"")</f>
        <v>3.5282785359788842E-2</v>
      </c>
      <c r="U90" s="19">
        <f t="shared" si="46"/>
        <v>0.48797089713146596</v>
      </c>
      <c r="V90" s="19">
        <f t="shared" si="32"/>
        <v>0</v>
      </c>
      <c r="W90" s="19">
        <f t="shared" si="33"/>
        <v>305.72850284670051</v>
      </c>
      <c r="X90" s="23">
        <f t="shared" si="34"/>
        <v>1237.0525028467005</v>
      </c>
      <c r="Y90" s="22">
        <f>(1/(2*LOG(3.7*$I90/'Calculation Constants'!$B$3*1000)))^2</f>
        <v>9.4904462912918219E-3</v>
      </c>
      <c r="Z90" s="19">
        <f t="shared" si="35"/>
        <v>0.50734754464280807</v>
      </c>
      <c r="AA90" s="19">
        <f>IF($H90&gt;0,'Calculation Constants'!$B$9*Hydraulics!$K90^2/2/9.81/MAX($F$4:$F$253)*$H90,"")</f>
        <v>3.5282785359788842E-2</v>
      </c>
      <c r="AB90" s="19">
        <f t="shared" si="54"/>
        <v>0.54263033000259686</v>
      </c>
      <c r="AC90" s="19">
        <f t="shared" si="36"/>
        <v>0</v>
      </c>
      <c r="AD90" s="19">
        <f t="shared" si="47"/>
        <v>301.02779161977935</v>
      </c>
      <c r="AE90" s="23">
        <f t="shared" si="37"/>
        <v>1232.3517916197793</v>
      </c>
      <c r="AF90" s="27">
        <f>(1/(2*LOG(3.7*$I90/'Calculation Constants'!$B$4*1000)))^2</f>
        <v>1.1152845500629007E-2</v>
      </c>
      <c r="AG90" s="19">
        <f t="shared" si="38"/>
        <v>0.59621735446906032</v>
      </c>
      <c r="AH90" s="19">
        <f>IF($H90&gt;0,'Calculation Constants'!$B$9*Hydraulics!$K90^2/2/9.81/MAX($F$4:$F$253)*$H90,"")</f>
        <v>3.5282785359788842E-2</v>
      </c>
      <c r="AI90" s="19">
        <f t="shared" si="48"/>
        <v>0.63150013982884912</v>
      </c>
      <c r="AJ90" s="19">
        <f t="shared" si="39"/>
        <v>0</v>
      </c>
      <c r="AK90" s="19">
        <f t="shared" si="49"/>
        <v>293.38498797471823</v>
      </c>
      <c r="AL90" s="23">
        <f t="shared" si="40"/>
        <v>1224.7089879747182</v>
      </c>
      <c r="AM90" s="22">
        <f>(1/(2*LOG(3.7*($I90-0.008)/'Calculation Constants'!$B$5*1000)))^2</f>
        <v>1.4104604303736145E-2</v>
      </c>
      <c r="AN90" s="19">
        <f t="shared" si="50"/>
        <v>0.75676661531854661</v>
      </c>
      <c r="AO90" s="19">
        <f>IF($H90&gt;0,'Calculation Constants'!$B$9*Hydraulics!$K90^2/2/9.81/MAX($F$4:$F$253)*$H90,"")</f>
        <v>3.5282785359788842E-2</v>
      </c>
      <c r="AP90" s="19">
        <f t="shared" si="51"/>
        <v>0.7920494006783354</v>
      </c>
      <c r="AQ90" s="19">
        <f t="shared" si="41"/>
        <v>0</v>
      </c>
      <c r="AR90" s="19">
        <f t="shared" si="52"/>
        <v>279.57775154167041</v>
      </c>
      <c r="AS90" s="23">
        <f t="shared" si="42"/>
        <v>1210.9017515416704</v>
      </c>
    </row>
    <row r="91" spans="5:45">
      <c r="E91" s="35" t="str">
        <f t="shared" si="28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3"/>
        <v>2</v>
      </c>
      <c r="I91" s="19">
        <v>2.2000000000000002</v>
      </c>
      <c r="J91" s="36">
        <f>'Flow Rate Calculations'!$B$7</f>
        <v>4.0831050228310497</v>
      </c>
      <c r="K91" s="36">
        <f t="shared" si="43"/>
        <v>1.0741261942924094</v>
      </c>
      <c r="L91" s="37">
        <f>$I91*$K91/'Calculation Constants'!$B$7</f>
        <v>2091219.139330355</v>
      </c>
      <c r="M91" s="37" t="str">
        <f t="shared" si="29"/>
        <v>Greater Dynamic Pressures</v>
      </c>
      <c r="N91" s="23">
        <f t="shared" si="44"/>
        <v>303.0345319495691</v>
      </c>
      <c r="O91" s="56">
        <f t="shared" si="30"/>
        <v>298.27916128977677</v>
      </c>
      <c r="P91" s="65">
        <f>MAX(I91*1000/'Calculation Constants'!$B$14,O91*10*I91*1000/2/('Calculation Constants'!$B$12*1000*'Calculation Constants'!$B$13))</f>
        <v>21.873805161250299</v>
      </c>
      <c r="Q91" s="67">
        <f t="shared" si="31"/>
        <v>2349940.6964936131</v>
      </c>
      <c r="R91" s="27">
        <f>(1/(2*LOG(3.7*$I91/'Calculation Constants'!$B$2*1000)))^2</f>
        <v>8.4679866037394684E-3</v>
      </c>
      <c r="S91" s="19">
        <f t="shared" si="45"/>
        <v>0.45268811177167712</v>
      </c>
      <c r="T91" s="19">
        <f>IF($H91&gt;0,'Calculation Constants'!$B$9*Hydraulics!$K91^2/2/9.81/MAX($F$4:$F$253)*$H91,"")</f>
        <v>3.5282785359788842E-2</v>
      </c>
      <c r="U91" s="19">
        <f t="shared" si="46"/>
        <v>0.48797089713146596</v>
      </c>
      <c r="V91" s="19">
        <f t="shared" si="32"/>
        <v>0</v>
      </c>
      <c r="W91" s="19">
        <f t="shared" si="33"/>
        <v>303.0345319495691</v>
      </c>
      <c r="X91" s="23">
        <f t="shared" si="34"/>
        <v>1236.5645319495691</v>
      </c>
      <c r="Y91" s="22">
        <f>(1/(2*LOG(3.7*$I91/'Calculation Constants'!$B$3*1000)))^2</f>
        <v>9.4904462912918219E-3</v>
      </c>
      <c r="Z91" s="19">
        <f t="shared" si="35"/>
        <v>0.50734754464280807</v>
      </c>
      <c r="AA91" s="19">
        <f>IF($H91&gt;0,'Calculation Constants'!$B$9*Hydraulics!$K91^2/2/9.81/MAX($F$4:$F$253)*$H91,"")</f>
        <v>3.5282785359788842E-2</v>
      </c>
      <c r="AB91" s="19">
        <f t="shared" si="54"/>
        <v>0.54263033000259686</v>
      </c>
      <c r="AC91" s="19">
        <f t="shared" si="36"/>
        <v>0</v>
      </c>
      <c r="AD91" s="19">
        <f t="shared" si="47"/>
        <v>298.27916128977677</v>
      </c>
      <c r="AE91" s="23">
        <f t="shared" si="37"/>
        <v>1231.8091612897767</v>
      </c>
      <c r="AF91" s="27">
        <f>(1/(2*LOG(3.7*$I91/'Calculation Constants'!$B$4*1000)))^2</f>
        <v>1.1152845500629007E-2</v>
      </c>
      <c r="AG91" s="19">
        <f t="shared" si="38"/>
        <v>0.59621735446906032</v>
      </c>
      <c r="AH91" s="19">
        <f>IF($H91&gt;0,'Calculation Constants'!$B$9*Hydraulics!$K91^2/2/9.81/MAX($F$4:$F$253)*$H91,"")</f>
        <v>3.5282785359788842E-2</v>
      </c>
      <c r="AI91" s="19">
        <f t="shared" si="48"/>
        <v>0.63150013982884912</v>
      </c>
      <c r="AJ91" s="19">
        <f t="shared" si="39"/>
        <v>0</v>
      </c>
      <c r="AK91" s="19">
        <f t="shared" si="49"/>
        <v>290.54748783488935</v>
      </c>
      <c r="AL91" s="23">
        <f t="shared" si="40"/>
        <v>1224.0774878348893</v>
      </c>
      <c r="AM91" s="22">
        <f>(1/(2*LOG(3.7*($I91-0.008)/'Calculation Constants'!$B$5*1000)))^2</f>
        <v>1.4104604303736145E-2</v>
      </c>
      <c r="AN91" s="19">
        <f t="shared" si="50"/>
        <v>0.75676661531854661</v>
      </c>
      <c r="AO91" s="19">
        <f>IF($H91&gt;0,'Calculation Constants'!$B$9*Hydraulics!$K91^2/2/9.81/MAX($F$4:$F$253)*$H91,"")</f>
        <v>3.5282785359788842E-2</v>
      </c>
      <c r="AP91" s="19">
        <f t="shared" si="51"/>
        <v>0.7920494006783354</v>
      </c>
      <c r="AQ91" s="19">
        <f t="shared" si="41"/>
        <v>0</v>
      </c>
      <c r="AR91" s="19">
        <f t="shared" si="52"/>
        <v>276.57970214099214</v>
      </c>
      <c r="AS91" s="23">
        <f t="shared" si="42"/>
        <v>1210.1097021409921</v>
      </c>
    </row>
    <row r="92" spans="5:45">
      <c r="E92" s="35" t="str">
        <f t="shared" si="28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3"/>
        <v>2</v>
      </c>
      <c r="I92" s="19">
        <v>2.2000000000000002</v>
      </c>
      <c r="J92" s="36">
        <f>'Flow Rate Calculations'!$B$7</f>
        <v>4.0831050228310497</v>
      </c>
      <c r="K92" s="36">
        <f t="shared" si="43"/>
        <v>1.0741261942924094</v>
      </c>
      <c r="L92" s="37">
        <f>$I92*$K92/'Calculation Constants'!$B$7</f>
        <v>2091219.139330355</v>
      </c>
      <c r="M92" s="37" t="str">
        <f t="shared" si="29"/>
        <v>Greater Dynamic Pressures</v>
      </c>
      <c r="N92" s="23">
        <f t="shared" si="44"/>
        <v>303.36256105243763</v>
      </c>
      <c r="O92" s="56">
        <f t="shared" si="30"/>
        <v>298.55253095977412</v>
      </c>
      <c r="P92" s="65">
        <f>MAX(I92*1000/'Calculation Constants'!$B$14,O92*10*I92*1000/2/('Calculation Constants'!$B$12*1000*'Calculation Constants'!$B$13))</f>
        <v>21.893852270383437</v>
      </c>
      <c r="Q92" s="67">
        <f t="shared" si="31"/>
        <v>2352072.7437951202</v>
      </c>
      <c r="R92" s="27">
        <f>(1/(2*LOG(3.7*$I92/'Calculation Constants'!$B$2*1000)))^2</f>
        <v>8.4679866037394684E-3</v>
      </c>
      <c r="S92" s="19">
        <f t="shared" si="45"/>
        <v>0.45268811177167712</v>
      </c>
      <c r="T92" s="19">
        <f>IF($H92&gt;0,'Calculation Constants'!$B$9*Hydraulics!$K92^2/2/9.81/MAX($F$4:$F$253)*$H92,"")</f>
        <v>3.5282785359788842E-2</v>
      </c>
      <c r="U92" s="19">
        <f t="shared" si="46"/>
        <v>0.48797089713146596</v>
      </c>
      <c r="V92" s="19">
        <f t="shared" si="32"/>
        <v>0</v>
      </c>
      <c r="W92" s="19">
        <f t="shared" si="33"/>
        <v>303.36256105243763</v>
      </c>
      <c r="X92" s="23">
        <f t="shared" si="34"/>
        <v>1236.0765610524377</v>
      </c>
      <c r="Y92" s="22">
        <f>(1/(2*LOG(3.7*$I92/'Calculation Constants'!$B$3*1000)))^2</f>
        <v>9.4904462912918219E-3</v>
      </c>
      <c r="Z92" s="19">
        <f t="shared" si="35"/>
        <v>0.50734754464280807</v>
      </c>
      <c r="AA92" s="19">
        <f>IF($H92&gt;0,'Calculation Constants'!$B$9*Hydraulics!$K92^2/2/9.81/MAX($F$4:$F$253)*$H92,"")</f>
        <v>3.5282785359788842E-2</v>
      </c>
      <c r="AB92" s="19">
        <f t="shared" si="54"/>
        <v>0.54263033000259686</v>
      </c>
      <c r="AC92" s="19">
        <f t="shared" si="36"/>
        <v>0</v>
      </c>
      <c r="AD92" s="19">
        <f t="shared" si="47"/>
        <v>298.55253095977412</v>
      </c>
      <c r="AE92" s="23">
        <f t="shared" si="37"/>
        <v>1231.2665309597742</v>
      </c>
      <c r="AF92" s="27">
        <f>(1/(2*LOG(3.7*$I92/'Calculation Constants'!$B$4*1000)))^2</f>
        <v>1.1152845500629007E-2</v>
      </c>
      <c r="AG92" s="19">
        <f t="shared" si="38"/>
        <v>0.59621735446906032</v>
      </c>
      <c r="AH92" s="19">
        <f>IF($H92&gt;0,'Calculation Constants'!$B$9*Hydraulics!$K92^2/2/9.81/MAX($F$4:$F$253)*$H92,"")</f>
        <v>3.5282785359788842E-2</v>
      </c>
      <c r="AI92" s="19">
        <f t="shared" si="48"/>
        <v>0.63150013982884912</v>
      </c>
      <c r="AJ92" s="19">
        <f t="shared" si="39"/>
        <v>0</v>
      </c>
      <c r="AK92" s="19">
        <f t="shared" si="49"/>
        <v>290.73198769506041</v>
      </c>
      <c r="AL92" s="23">
        <f t="shared" si="40"/>
        <v>1223.4459876950605</v>
      </c>
      <c r="AM92" s="22">
        <f>(1/(2*LOG(3.7*($I92-0.008)/'Calculation Constants'!$B$5*1000)))^2</f>
        <v>1.4104604303736145E-2</v>
      </c>
      <c r="AN92" s="19">
        <f t="shared" si="50"/>
        <v>0.75676661531854661</v>
      </c>
      <c r="AO92" s="19">
        <f>IF($H92&gt;0,'Calculation Constants'!$B$9*Hydraulics!$K92^2/2/9.81/MAX($F$4:$F$253)*$H92,"")</f>
        <v>3.5282785359788842E-2</v>
      </c>
      <c r="AP92" s="19">
        <f t="shared" si="51"/>
        <v>0.7920494006783354</v>
      </c>
      <c r="AQ92" s="19">
        <f t="shared" si="41"/>
        <v>0</v>
      </c>
      <c r="AR92" s="19">
        <f t="shared" si="52"/>
        <v>276.60365274031381</v>
      </c>
      <c r="AS92" s="23">
        <f t="shared" si="42"/>
        <v>1209.3176527403139</v>
      </c>
    </row>
    <row r="93" spans="5:45">
      <c r="E93" s="35" t="str">
        <f t="shared" si="28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3"/>
        <v>2</v>
      </c>
      <c r="I93" s="19">
        <v>2.2000000000000002</v>
      </c>
      <c r="J93" s="36">
        <f>'Flow Rate Calculations'!$B$7</f>
        <v>4.0831050228310497</v>
      </c>
      <c r="K93" s="36">
        <f t="shared" si="43"/>
        <v>1.0741261942924094</v>
      </c>
      <c r="L93" s="37">
        <f>$I93*$K93/'Calculation Constants'!$B$7</f>
        <v>2091219.139330355</v>
      </c>
      <c r="M93" s="37" t="str">
        <f t="shared" si="29"/>
        <v>Greater Dynamic Pressures</v>
      </c>
      <c r="N93" s="23">
        <f t="shared" si="44"/>
        <v>307.27759015530626</v>
      </c>
      <c r="O93" s="56">
        <f t="shared" si="30"/>
        <v>302.41290062977157</v>
      </c>
      <c r="P93" s="65">
        <f>MAX(I93*1000/'Calculation Constants'!$B$14,O93*10*I93*1000/2/('Calculation Constants'!$B$12*1000*'Calculation Constants'!$B$13))</f>
        <v>22.176946046183254</v>
      </c>
      <c r="Q93" s="67">
        <f t="shared" si="31"/>
        <v>2382176.0600396795</v>
      </c>
      <c r="R93" s="27">
        <f>(1/(2*LOG(3.7*$I93/'Calculation Constants'!$B$2*1000)))^2</f>
        <v>8.4679866037394684E-3</v>
      </c>
      <c r="S93" s="19">
        <f t="shared" si="45"/>
        <v>0.45268811177167712</v>
      </c>
      <c r="T93" s="19">
        <f>IF($H93&gt;0,'Calculation Constants'!$B$9*Hydraulics!$K93^2/2/9.81/MAX($F$4:$F$253)*$H93,"")</f>
        <v>3.5282785359788842E-2</v>
      </c>
      <c r="U93" s="19">
        <f t="shared" si="46"/>
        <v>0.48797089713146596</v>
      </c>
      <c r="V93" s="19">
        <f t="shared" si="32"/>
        <v>0</v>
      </c>
      <c r="W93" s="19">
        <f t="shared" si="33"/>
        <v>307.27759015530626</v>
      </c>
      <c r="X93" s="23">
        <f t="shared" si="34"/>
        <v>1235.5885901553063</v>
      </c>
      <c r="Y93" s="22">
        <f>(1/(2*LOG(3.7*$I93/'Calculation Constants'!$B$3*1000)))^2</f>
        <v>9.4904462912918219E-3</v>
      </c>
      <c r="Z93" s="19">
        <f t="shared" si="35"/>
        <v>0.50734754464280807</v>
      </c>
      <c r="AA93" s="19">
        <f>IF($H93&gt;0,'Calculation Constants'!$B$9*Hydraulics!$K93^2/2/9.81/MAX($F$4:$F$253)*$H93,"")</f>
        <v>3.5282785359788842E-2</v>
      </c>
      <c r="AB93" s="19">
        <f t="shared" si="54"/>
        <v>0.54263033000259686</v>
      </c>
      <c r="AC93" s="19">
        <f t="shared" si="36"/>
        <v>0</v>
      </c>
      <c r="AD93" s="19">
        <f t="shared" si="47"/>
        <v>302.41290062977157</v>
      </c>
      <c r="AE93" s="23">
        <f t="shared" si="37"/>
        <v>1230.7239006297716</v>
      </c>
      <c r="AF93" s="27">
        <f>(1/(2*LOG(3.7*$I93/'Calculation Constants'!$B$4*1000)))^2</f>
        <v>1.1152845500629007E-2</v>
      </c>
      <c r="AG93" s="19">
        <f t="shared" si="38"/>
        <v>0.59621735446906032</v>
      </c>
      <c r="AH93" s="19">
        <f>IF($H93&gt;0,'Calculation Constants'!$B$9*Hydraulics!$K93^2/2/9.81/MAX($F$4:$F$253)*$H93,"")</f>
        <v>3.5282785359788842E-2</v>
      </c>
      <c r="AI93" s="19">
        <f t="shared" si="48"/>
        <v>0.63150013982884912</v>
      </c>
      <c r="AJ93" s="19">
        <f t="shared" si="39"/>
        <v>0</v>
      </c>
      <c r="AK93" s="19">
        <f t="shared" si="49"/>
        <v>294.50348755523157</v>
      </c>
      <c r="AL93" s="23">
        <f t="shared" si="40"/>
        <v>1222.8144875552316</v>
      </c>
      <c r="AM93" s="22">
        <f>(1/(2*LOG(3.7*($I93-0.008)/'Calculation Constants'!$B$5*1000)))^2</f>
        <v>1.4104604303736145E-2</v>
      </c>
      <c r="AN93" s="19">
        <f t="shared" si="50"/>
        <v>0.75676661531854661</v>
      </c>
      <c r="AO93" s="19">
        <f>IF($H93&gt;0,'Calculation Constants'!$B$9*Hydraulics!$K93^2/2/9.81/MAX($F$4:$F$253)*$H93,"")</f>
        <v>3.5282785359788842E-2</v>
      </c>
      <c r="AP93" s="19">
        <f t="shared" si="51"/>
        <v>0.7920494006783354</v>
      </c>
      <c r="AQ93" s="19">
        <f t="shared" si="41"/>
        <v>0</v>
      </c>
      <c r="AR93" s="19">
        <f t="shared" si="52"/>
        <v>280.21460333963557</v>
      </c>
      <c r="AS93" s="23">
        <f t="shared" si="42"/>
        <v>1208.5256033396356</v>
      </c>
    </row>
    <row r="94" spans="5:45">
      <c r="E94" s="35" t="str">
        <f t="shared" si="28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3"/>
        <v>2</v>
      </c>
      <c r="I94" s="19">
        <v>2.2000000000000002</v>
      </c>
      <c r="J94" s="36">
        <f>'Flow Rate Calculations'!$B$7</f>
        <v>4.0831050228310497</v>
      </c>
      <c r="K94" s="36">
        <f t="shared" si="43"/>
        <v>1.0741261942924094</v>
      </c>
      <c r="L94" s="37">
        <f>$I94*$K94/'Calculation Constants'!$B$7</f>
        <v>2091219.139330355</v>
      </c>
      <c r="M94" s="37" t="str">
        <f t="shared" si="29"/>
        <v>Greater Dynamic Pressures</v>
      </c>
      <c r="N94" s="23">
        <f t="shared" si="44"/>
        <v>310.92161925817493</v>
      </c>
      <c r="O94" s="56">
        <f t="shared" si="30"/>
        <v>306.00227029976907</v>
      </c>
      <c r="P94" s="65">
        <f>MAX(I94*1000/'Calculation Constants'!$B$14,O94*10*I94*1000/2/('Calculation Constants'!$B$12*1000*'Calculation Constants'!$B$13))</f>
        <v>22.440166488649734</v>
      </c>
      <c r="Q94" s="67">
        <f t="shared" si="31"/>
        <v>2410159.0148035702</v>
      </c>
      <c r="R94" s="27">
        <f>(1/(2*LOG(3.7*$I94/'Calculation Constants'!$B$2*1000)))^2</f>
        <v>8.4679866037394684E-3</v>
      </c>
      <c r="S94" s="19">
        <f t="shared" si="45"/>
        <v>0.45268811177167712</v>
      </c>
      <c r="T94" s="19">
        <f>IF($H94&gt;0,'Calculation Constants'!$B$9*Hydraulics!$K94^2/2/9.81/MAX($F$4:$F$253)*$H94,"")</f>
        <v>3.5282785359788842E-2</v>
      </c>
      <c r="U94" s="19">
        <f t="shared" si="46"/>
        <v>0.48797089713146596</v>
      </c>
      <c r="V94" s="19">
        <f t="shared" si="32"/>
        <v>0</v>
      </c>
      <c r="W94" s="19">
        <f t="shared" si="33"/>
        <v>310.92161925817493</v>
      </c>
      <c r="X94" s="23">
        <f t="shared" si="34"/>
        <v>1235.1006192581749</v>
      </c>
      <c r="Y94" s="22">
        <f>(1/(2*LOG(3.7*$I94/'Calculation Constants'!$B$3*1000)))^2</f>
        <v>9.4904462912918219E-3</v>
      </c>
      <c r="Z94" s="19">
        <f t="shared" si="35"/>
        <v>0.50734754464280807</v>
      </c>
      <c r="AA94" s="19">
        <f>IF($H94&gt;0,'Calculation Constants'!$B$9*Hydraulics!$K94^2/2/9.81/MAX($F$4:$F$253)*$H94,"")</f>
        <v>3.5282785359788842E-2</v>
      </c>
      <c r="AB94" s="19">
        <f t="shared" si="54"/>
        <v>0.54263033000259686</v>
      </c>
      <c r="AC94" s="19">
        <f t="shared" si="36"/>
        <v>0</v>
      </c>
      <c r="AD94" s="19">
        <f t="shared" si="47"/>
        <v>306.00227029976907</v>
      </c>
      <c r="AE94" s="23">
        <f t="shared" si="37"/>
        <v>1230.181270299769</v>
      </c>
      <c r="AF94" s="27">
        <f>(1/(2*LOG(3.7*$I94/'Calculation Constants'!$B$4*1000)))^2</f>
        <v>1.1152845500629007E-2</v>
      </c>
      <c r="AG94" s="19">
        <f t="shared" si="38"/>
        <v>0.59621735446906032</v>
      </c>
      <c r="AH94" s="19">
        <f>IF($H94&gt;0,'Calculation Constants'!$B$9*Hydraulics!$K94^2/2/9.81/MAX($F$4:$F$253)*$H94,"")</f>
        <v>3.5282785359788842E-2</v>
      </c>
      <c r="AI94" s="19">
        <f t="shared" si="48"/>
        <v>0.63150013982884912</v>
      </c>
      <c r="AJ94" s="19">
        <f t="shared" si="39"/>
        <v>0</v>
      </c>
      <c r="AK94" s="19">
        <f t="shared" si="49"/>
        <v>298.00398741540278</v>
      </c>
      <c r="AL94" s="23">
        <f t="shared" si="40"/>
        <v>1222.1829874154027</v>
      </c>
      <c r="AM94" s="22">
        <f>(1/(2*LOG(3.7*($I94-0.008)/'Calculation Constants'!$B$5*1000)))^2</f>
        <v>1.4104604303736145E-2</v>
      </c>
      <c r="AN94" s="19">
        <f t="shared" si="50"/>
        <v>0.75676661531854661</v>
      </c>
      <c r="AO94" s="19">
        <f>IF($H94&gt;0,'Calculation Constants'!$B$9*Hydraulics!$K94^2/2/9.81/MAX($F$4:$F$253)*$H94,"")</f>
        <v>3.5282785359788842E-2</v>
      </c>
      <c r="AP94" s="19">
        <f t="shared" si="51"/>
        <v>0.7920494006783354</v>
      </c>
      <c r="AQ94" s="19">
        <f t="shared" si="41"/>
        <v>0</v>
      </c>
      <c r="AR94" s="19">
        <f t="shared" si="52"/>
        <v>283.55455393895738</v>
      </c>
      <c r="AS94" s="23">
        <f t="shared" si="42"/>
        <v>1207.7335539389574</v>
      </c>
    </row>
    <row r="95" spans="5:45">
      <c r="E95" s="35" t="str">
        <f t="shared" si="28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3"/>
        <v>2</v>
      </c>
      <c r="I95" s="19">
        <v>2.2000000000000002</v>
      </c>
      <c r="J95" s="36">
        <f>'Flow Rate Calculations'!$B$7</f>
        <v>4.0831050228310497</v>
      </c>
      <c r="K95" s="36">
        <f t="shared" si="43"/>
        <v>1.0741261942924094</v>
      </c>
      <c r="L95" s="37">
        <f>$I95*$K95/'Calculation Constants'!$B$7</f>
        <v>2091219.139330355</v>
      </c>
      <c r="M95" s="37" t="str">
        <f t="shared" si="29"/>
        <v>Greater Dynamic Pressures</v>
      </c>
      <c r="N95" s="23">
        <f t="shared" si="44"/>
        <v>306.21464836104349</v>
      </c>
      <c r="O95" s="56">
        <f t="shared" si="30"/>
        <v>301.24063996976645</v>
      </c>
      <c r="P95" s="65">
        <f>MAX(I95*1000/'Calculation Constants'!$B$14,O95*10*I95*1000/2/('Calculation Constants'!$B$12*1000*'Calculation Constants'!$B$13))</f>
        <v>22.090980264449541</v>
      </c>
      <c r="Q95" s="67">
        <f t="shared" si="31"/>
        <v>2373035.5606233007</v>
      </c>
      <c r="R95" s="27">
        <f>(1/(2*LOG(3.7*$I95/'Calculation Constants'!$B$2*1000)))^2</f>
        <v>8.4679866037394684E-3</v>
      </c>
      <c r="S95" s="19">
        <f t="shared" si="45"/>
        <v>0.45268811177167712</v>
      </c>
      <c r="T95" s="19">
        <f>IF($H95&gt;0,'Calculation Constants'!$B$9*Hydraulics!$K95^2/2/9.81/MAX($F$4:$F$253)*$H95,"")</f>
        <v>3.5282785359788842E-2</v>
      </c>
      <c r="U95" s="19">
        <f t="shared" si="46"/>
        <v>0.48797089713146596</v>
      </c>
      <c r="V95" s="19">
        <f t="shared" si="32"/>
        <v>0</v>
      </c>
      <c r="W95" s="19">
        <f t="shared" si="33"/>
        <v>306.21464836104349</v>
      </c>
      <c r="X95" s="23">
        <f t="shared" si="34"/>
        <v>1234.6126483610435</v>
      </c>
      <c r="Y95" s="22">
        <f>(1/(2*LOG(3.7*$I95/'Calculation Constants'!$B$3*1000)))^2</f>
        <v>9.4904462912918219E-3</v>
      </c>
      <c r="Z95" s="19">
        <f t="shared" si="35"/>
        <v>0.50734754464280807</v>
      </c>
      <c r="AA95" s="19">
        <f>IF($H95&gt;0,'Calculation Constants'!$B$9*Hydraulics!$K95^2/2/9.81/MAX($F$4:$F$253)*$H95,"")</f>
        <v>3.5282785359788842E-2</v>
      </c>
      <c r="AB95" s="19">
        <f t="shared" si="54"/>
        <v>0.54263033000259686</v>
      </c>
      <c r="AC95" s="19">
        <f t="shared" si="36"/>
        <v>0</v>
      </c>
      <c r="AD95" s="19">
        <f t="shared" si="47"/>
        <v>301.24063996976645</v>
      </c>
      <c r="AE95" s="23">
        <f t="shared" si="37"/>
        <v>1229.6386399697665</v>
      </c>
      <c r="AF95" s="27">
        <f>(1/(2*LOG(3.7*$I95/'Calculation Constants'!$B$4*1000)))^2</f>
        <v>1.1152845500629007E-2</v>
      </c>
      <c r="AG95" s="19">
        <f t="shared" si="38"/>
        <v>0.59621735446906032</v>
      </c>
      <c r="AH95" s="19">
        <f>IF($H95&gt;0,'Calculation Constants'!$B$9*Hydraulics!$K95^2/2/9.81/MAX($F$4:$F$253)*$H95,"")</f>
        <v>3.5282785359788842E-2</v>
      </c>
      <c r="AI95" s="19">
        <f t="shared" si="48"/>
        <v>0.63150013982884912</v>
      </c>
      <c r="AJ95" s="19">
        <f t="shared" si="39"/>
        <v>0</v>
      </c>
      <c r="AK95" s="19">
        <f t="shared" si="49"/>
        <v>293.15348727557387</v>
      </c>
      <c r="AL95" s="23">
        <f t="shared" si="40"/>
        <v>1221.5514872755739</v>
      </c>
      <c r="AM95" s="22">
        <f>(1/(2*LOG(3.7*($I95-0.008)/'Calculation Constants'!$B$5*1000)))^2</f>
        <v>1.4104604303736145E-2</v>
      </c>
      <c r="AN95" s="19">
        <f t="shared" si="50"/>
        <v>0.75676661531854661</v>
      </c>
      <c r="AO95" s="19">
        <f>IF($H95&gt;0,'Calculation Constants'!$B$9*Hydraulics!$K95^2/2/9.81/MAX($F$4:$F$253)*$H95,"")</f>
        <v>3.5282785359788842E-2</v>
      </c>
      <c r="AP95" s="19">
        <f t="shared" si="51"/>
        <v>0.7920494006783354</v>
      </c>
      <c r="AQ95" s="19">
        <f t="shared" si="41"/>
        <v>0</v>
      </c>
      <c r="AR95" s="19">
        <f t="shared" si="52"/>
        <v>278.54350453827908</v>
      </c>
      <c r="AS95" s="23">
        <f t="shared" si="42"/>
        <v>1206.9415045382791</v>
      </c>
    </row>
    <row r="96" spans="5:45">
      <c r="E96" s="35" t="str">
        <f t="shared" si="28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3"/>
        <v>2</v>
      </c>
      <c r="I96" s="19">
        <v>2.2000000000000002</v>
      </c>
      <c r="J96" s="36">
        <f>'Flow Rate Calculations'!$B$7</f>
        <v>4.0831050228310497</v>
      </c>
      <c r="K96" s="36">
        <f t="shared" si="43"/>
        <v>1.0741261942924094</v>
      </c>
      <c r="L96" s="37">
        <f>$I96*$K96/'Calculation Constants'!$B$7</f>
        <v>2091219.139330355</v>
      </c>
      <c r="M96" s="37" t="str">
        <f t="shared" si="29"/>
        <v>Greater Dynamic Pressures</v>
      </c>
      <c r="N96" s="23">
        <f t="shared" si="44"/>
        <v>303.25867746391214</v>
      </c>
      <c r="O96" s="56">
        <f t="shared" si="30"/>
        <v>298.23000963976392</v>
      </c>
      <c r="P96" s="65">
        <f>MAX(I96*1000/'Calculation Constants'!$B$14,O96*10*I96*1000/2/('Calculation Constants'!$B$12*1000*'Calculation Constants'!$B$13))</f>
        <v>21.870200706916023</v>
      </c>
      <c r="Q96" s="67">
        <f t="shared" si="31"/>
        <v>2349557.3518736679</v>
      </c>
      <c r="R96" s="27">
        <f>(1/(2*LOG(3.7*$I96/'Calculation Constants'!$B$2*1000)))^2</f>
        <v>8.4679866037394684E-3</v>
      </c>
      <c r="S96" s="19">
        <f t="shared" si="45"/>
        <v>0.45268811177167712</v>
      </c>
      <c r="T96" s="19">
        <f>IF($H96&gt;0,'Calculation Constants'!$B$9*Hydraulics!$K96^2/2/9.81/MAX($F$4:$F$253)*$H96,"")</f>
        <v>3.5282785359788842E-2</v>
      </c>
      <c r="U96" s="19">
        <f t="shared" si="46"/>
        <v>0.48797089713146596</v>
      </c>
      <c r="V96" s="19">
        <f t="shared" si="32"/>
        <v>0</v>
      </c>
      <c r="W96" s="19">
        <f t="shared" si="33"/>
        <v>303.25867746391214</v>
      </c>
      <c r="X96" s="23">
        <f t="shared" si="34"/>
        <v>1234.1246774639121</v>
      </c>
      <c r="Y96" s="22">
        <f>(1/(2*LOG(3.7*$I96/'Calculation Constants'!$B$3*1000)))^2</f>
        <v>9.4904462912918219E-3</v>
      </c>
      <c r="Z96" s="19">
        <f t="shared" si="35"/>
        <v>0.50734754464280807</v>
      </c>
      <c r="AA96" s="19">
        <f>IF($H96&gt;0,'Calculation Constants'!$B$9*Hydraulics!$K96^2/2/9.81/MAX($F$4:$F$253)*$H96,"")</f>
        <v>3.5282785359788842E-2</v>
      </c>
      <c r="AB96" s="19">
        <f t="shared" si="54"/>
        <v>0.54263033000259686</v>
      </c>
      <c r="AC96" s="19">
        <f t="shared" si="36"/>
        <v>0</v>
      </c>
      <c r="AD96" s="19">
        <f t="shared" si="47"/>
        <v>298.23000963976392</v>
      </c>
      <c r="AE96" s="23">
        <f t="shared" si="37"/>
        <v>1229.0960096397639</v>
      </c>
      <c r="AF96" s="27">
        <f>(1/(2*LOG(3.7*$I96/'Calculation Constants'!$B$4*1000)))^2</f>
        <v>1.1152845500629007E-2</v>
      </c>
      <c r="AG96" s="19">
        <f t="shared" si="38"/>
        <v>0.59621735446906032</v>
      </c>
      <c r="AH96" s="19">
        <f>IF($H96&gt;0,'Calculation Constants'!$B$9*Hydraulics!$K96^2/2/9.81/MAX($F$4:$F$253)*$H96,"")</f>
        <v>3.5282785359788842E-2</v>
      </c>
      <c r="AI96" s="19">
        <f t="shared" si="48"/>
        <v>0.63150013982884912</v>
      </c>
      <c r="AJ96" s="19">
        <f t="shared" si="39"/>
        <v>0</v>
      </c>
      <c r="AK96" s="19">
        <f t="shared" si="49"/>
        <v>290.05398713574505</v>
      </c>
      <c r="AL96" s="23">
        <f t="shared" si="40"/>
        <v>1220.919987135745</v>
      </c>
      <c r="AM96" s="22">
        <f>(1/(2*LOG(3.7*($I96-0.008)/'Calculation Constants'!$B$5*1000)))^2</f>
        <v>1.4104604303736145E-2</v>
      </c>
      <c r="AN96" s="19">
        <f t="shared" si="50"/>
        <v>0.75676661531854661</v>
      </c>
      <c r="AO96" s="19">
        <f>IF($H96&gt;0,'Calculation Constants'!$B$9*Hydraulics!$K96^2/2/9.81/MAX($F$4:$F$253)*$H96,"")</f>
        <v>3.5282785359788842E-2</v>
      </c>
      <c r="AP96" s="19">
        <f t="shared" si="51"/>
        <v>0.7920494006783354</v>
      </c>
      <c r="AQ96" s="19">
        <f t="shared" si="41"/>
        <v>0</v>
      </c>
      <c r="AR96" s="19">
        <f t="shared" si="52"/>
        <v>275.28345513760087</v>
      </c>
      <c r="AS96" s="23">
        <f t="shared" si="42"/>
        <v>1206.1494551376009</v>
      </c>
    </row>
    <row r="97" spans="5:45">
      <c r="E97" s="35" t="str">
        <f t="shared" si="28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3"/>
        <v>2</v>
      </c>
      <c r="I97" s="19">
        <v>2.2000000000000002</v>
      </c>
      <c r="J97" s="36">
        <f>'Flow Rate Calculations'!$B$7</f>
        <v>4.0831050228310497</v>
      </c>
      <c r="K97" s="36">
        <f t="shared" si="43"/>
        <v>1.0741261942924094</v>
      </c>
      <c r="L97" s="37">
        <f>$I97*$K97/'Calculation Constants'!$B$7</f>
        <v>2091219.139330355</v>
      </c>
      <c r="M97" s="37" t="str">
        <f t="shared" si="29"/>
        <v>Greater Dynamic Pressures</v>
      </c>
      <c r="N97" s="23">
        <f t="shared" si="44"/>
        <v>305.22570656678079</v>
      </c>
      <c r="O97" s="56">
        <f t="shared" si="30"/>
        <v>300.1423793097614</v>
      </c>
      <c r="P97" s="65">
        <f>MAX(I97*1000/'Calculation Constants'!$B$14,O97*10*I97*1000/2/('Calculation Constants'!$B$12*1000*'Calculation Constants'!$B$13))</f>
        <v>22.010441149382505</v>
      </c>
      <c r="Q97" s="67">
        <f t="shared" si="31"/>
        <v>2364471.4019580642</v>
      </c>
      <c r="R97" s="27">
        <f>(1/(2*LOG(3.7*$I97/'Calculation Constants'!$B$2*1000)))^2</f>
        <v>8.4679866037394684E-3</v>
      </c>
      <c r="S97" s="19">
        <f t="shared" si="45"/>
        <v>0.45268811177167712</v>
      </c>
      <c r="T97" s="19">
        <f>IF($H97&gt;0,'Calculation Constants'!$B$9*Hydraulics!$K97^2/2/9.81/MAX($F$4:$F$253)*$H97,"")</f>
        <v>3.5282785359788842E-2</v>
      </c>
      <c r="U97" s="19">
        <f t="shared" si="46"/>
        <v>0.48797089713146596</v>
      </c>
      <c r="V97" s="19">
        <f t="shared" si="32"/>
        <v>0</v>
      </c>
      <c r="W97" s="19">
        <f t="shared" si="33"/>
        <v>305.22570656678079</v>
      </c>
      <c r="X97" s="23">
        <f t="shared" si="34"/>
        <v>1233.6367065667807</v>
      </c>
      <c r="Y97" s="22">
        <f>(1/(2*LOG(3.7*$I97/'Calculation Constants'!$B$3*1000)))^2</f>
        <v>9.4904462912918219E-3</v>
      </c>
      <c r="Z97" s="19">
        <f t="shared" si="35"/>
        <v>0.50734754464280807</v>
      </c>
      <c r="AA97" s="19">
        <f>IF($H97&gt;0,'Calculation Constants'!$B$9*Hydraulics!$K97^2/2/9.81/MAX($F$4:$F$253)*$H97,"")</f>
        <v>3.5282785359788842E-2</v>
      </c>
      <c r="AB97" s="19">
        <f t="shared" si="54"/>
        <v>0.54263033000259686</v>
      </c>
      <c r="AC97" s="19">
        <f t="shared" si="36"/>
        <v>0</v>
      </c>
      <c r="AD97" s="19">
        <f t="shared" si="47"/>
        <v>300.1423793097614</v>
      </c>
      <c r="AE97" s="23">
        <f t="shared" si="37"/>
        <v>1228.5533793097613</v>
      </c>
      <c r="AF97" s="27">
        <f>(1/(2*LOG(3.7*$I97/'Calculation Constants'!$B$4*1000)))^2</f>
        <v>1.1152845500629007E-2</v>
      </c>
      <c r="AG97" s="19">
        <f t="shared" si="38"/>
        <v>0.59621735446906032</v>
      </c>
      <c r="AH97" s="19">
        <f>IF($H97&gt;0,'Calculation Constants'!$B$9*Hydraulics!$K97^2/2/9.81/MAX($F$4:$F$253)*$H97,"")</f>
        <v>3.5282785359788842E-2</v>
      </c>
      <c r="AI97" s="19">
        <f t="shared" si="48"/>
        <v>0.63150013982884912</v>
      </c>
      <c r="AJ97" s="19">
        <f t="shared" si="39"/>
        <v>0</v>
      </c>
      <c r="AK97" s="19">
        <f t="shared" si="49"/>
        <v>291.87748699591623</v>
      </c>
      <c r="AL97" s="23">
        <f t="shared" si="40"/>
        <v>1220.2884869959162</v>
      </c>
      <c r="AM97" s="22">
        <f>(1/(2*LOG(3.7*($I97-0.008)/'Calculation Constants'!$B$5*1000)))^2</f>
        <v>1.4104604303736145E-2</v>
      </c>
      <c r="AN97" s="19">
        <f t="shared" si="50"/>
        <v>0.75676661531854661</v>
      </c>
      <c r="AO97" s="19">
        <f>IF($H97&gt;0,'Calculation Constants'!$B$9*Hydraulics!$K97^2/2/9.81/MAX($F$4:$F$253)*$H97,"")</f>
        <v>3.5282785359788842E-2</v>
      </c>
      <c r="AP97" s="19">
        <f t="shared" si="51"/>
        <v>0.7920494006783354</v>
      </c>
      <c r="AQ97" s="19">
        <f t="shared" si="41"/>
        <v>0</v>
      </c>
      <c r="AR97" s="19">
        <f t="shared" si="52"/>
        <v>276.94640573692266</v>
      </c>
      <c r="AS97" s="23">
        <f t="shared" si="42"/>
        <v>1205.3574057369226</v>
      </c>
    </row>
    <row r="98" spans="5:45">
      <c r="E98" s="35" t="str">
        <f t="shared" si="28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3"/>
        <v>2</v>
      </c>
      <c r="I98" s="19">
        <v>2.2000000000000002</v>
      </c>
      <c r="J98" s="36">
        <f>'Flow Rate Calculations'!$B$7</f>
        <v>4.0831050228310497</v>
      </c>
      <c r="K98" s="36">
        <f t="shared" si="43"/>
        <v>1.0741261942924094</v>
      </c>
      <c r="L98" s="37">
        <f>$I98*$K98/'Calculation Constants'!$B$7</f>
        <v>2091219.139330355</v>
      </c>
      <c r="M98" s="37" t="str">
        <f t="shared" si="29"/>
        <v>Greater Dynamic Pressures</v>
      </c>
      <c r="N98" s="23">
        <f t="shared" si="44"/>
        <v>305.29973566964929</v>
      </c>
      <c r="O98" s="56">
        <f t="shared" si="30"/>
        <v>300.16174897975873</v>
      </c>
      <c r="P98" s="65">
        <f>MAX(I98*1000/'Calculation Constants'!$B$14,O98*10*I98*1000/2/('Calculation Constants'!$B$12*1000*'Calculation Constants'!$B$13))</f>
        <v>22.011861591848973</v>
      </c>
      <c r="Q98" s="67">
        <f t="shared" si="31"/>
        <v>2364622.4508128283</v>
      </c>
      <c r="R98" s="27">
        <f>(1/(2*LOG(3.7*$I98/'Calculation Constants'!$B$2*1000)))^2</f>
        <v>8.4679866037394684E-3</v>
      </c>
      <c r="S98" s="19">
        <f t="shared" si="45"/>
        <v>0.45268811177167712</v>
      </c>
      <c r="T98" s="19">
        <f>IF($H98&gt;0,'Calculation Constants'!$B$9*Hydraulics!$K98^2/2/9.81/MAX($F$4:$F$253)*$H98,"")</f>
        <v>3.5282785359788842E-2</v>
      </c>
      <c r="U98" s="19">
        <f t="shared" si="46"/>
        <v>0.48797089713146596</v>
      </c>
      <c r="V98" s="19">
        <f t="shared" si="32"/>
        <v>0</v>
      </c>
      <c r="W98" s="19">
        <f t="shared" si="33"/>
        <v>305.29973566964929</v>
      </c>
      <c r="X98" s="23">
        <f t="shared" si="34"/>
        <v>1233.1487356696493</v>
      </c>
      <c r="Y98" s="22">
        <f>(1/(2*LOG(3.7*$I98/'Calculation Constants'!$B$3*1000)))^2</f>
        <v>9.4904462912918219E-3</v>
      </c>
      <c r="Z98" s="19">
        <f t="shared" si="35"/>
        <v>0.50734754464280807</v>
      </c>
      <c r="AA98" s="19">
        <f>IF($H98&gt;0,'Calculation Constants'!$B$9*Hydraulics!$K98^2/2/9.81/MAX($F$4:$F$253)*$H98,"")</f>
        <v>3.5282785359788842E-2</v>
      </c>
      <c r="AB98" s="19">
        <f t="shared" si="54"/>
        <v>0.54263033000259686</v>
      </c>
      <c r="AC98" s="19">
        <f t="shared" si="36"/>
        <v>0</v>
      </c>
      <c r="AD98" s="19">
        <f t="shared" si="47"/>
        <v>300.16174897975873</v>
      </c>
      <c r="AE98" s="23">
        <f t="shared" si="37"/>
        <v>1228.0107489797588</v>
      </c>
      <c r="AF98" s="27">
        <f>(1/(2*LOG(3.7*$I98/'Calculation Constants'!$B$4*1000)))^2</f>
        <v>1.1152845500629007E-2</v>
      </c>
      <c r="AG98" s="19">
        <f t="shared" si="38"/>
        <v>0.59621735446906032</v>
      </c>
      <c r="AH98" s="19">
        <f>IF($H98&gt;0,'Calculation Constants'!$B$9*Hydraulics!$K98^2/2/9.81/MAX($F$4:$F$253)*$H98,"")</f>
        <v>3.5282785359788842E-2</v>
      </c>
      <c r="AI98" s="19">
        <f t="shared" si="48"/>
        <v>0.63150013982884912</v>
      </c>
      <c r="AJ98" s="19">
        <f t="shared" si="39"/>
        <v>0</v>
      </c>
      <c r="AK98" s="19">
        <f t="shared" si="49"/>
        <v>291.80798685608727</v>
      </c>
      <c r="AL98" s="23">
        <f t="shared" si="40"/>
        <v>1219.6569868560873</v>
      </c>
      <c r="AM98" s="22">
        <f>(1/(2*LOG(3.7*($I98-0.008)/'Calculation Constants'!$B$5*1000)))^2</f>
        <v>1.4104604303736145E-2</v>
      </c>
      <c r="AN98" s="19">
        <f t="shared" si="50"/>
        <v>0.75676661531854661</v>
      </c>
      <c r="AO98" s="19">
        <f>IF($H98&gt;0,'Calculation Constants'!$B$9*Hydraulics!$K98^2/2/9.81/MAX($F$4:$F$253)*$H98,"")</f>
        <v>3.5282785359788842E-2</v>
      </c>
      <c r="AP98" s="19">
        <f t="shared" si="51"/>
        <v>0.7920494006783354</v>
      </c>
      <c r="AQ98" s="19">
        <f t="shared" si="41"/>
        <v>0</v>
      </c>
      <c r="AR98" s="19">
        <f t="shared" si="52"/>
        <v>276.7163563362443</v>
      </c>
      <c r="AS98" s="23">
        <f t="shared" si="42"/>
        <v>1204.5653563362443</v>
      </c>
    </row>
    <row r="99" spans="5:45">
      <c r="E99" s="35" t="str">
        <f t="shared" si="28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3"/>
        <v>2</v>
      </c>
      <c r="I99" s="19">
        <v>2.2000000000000002</v>
      </c>
      <c r="J99" s="36">
        <f>'Flow Rate Calculations'!$B$7</f>
        <v>4.0831050228310497</v>
      </c>
      <c r="K99" s="36">
        <f t="shared" si="43"/>
        <v>1.0741261942924094</v>
      </c>
      <c r="L99" s="37">
        <f>$I99*$K99/'Calculation Constants'!$B$7</f>
        <v>2091219.139330355</v>
      </c>
      <c r="M99" s="37" t="str">
        <f t="shared" si="29"/>
        <v>Greater Dynamic Pressures</v>
      </c>
      <c r="N99" s="23">
        <f t="shared" si="44"/>
        <v>305.95076477251791</v>
      </c>
      <c r="O99" s="56">
        <f t="shared" si="30"/>
        <v>300.75811864975617</v>
      </c>
      <c r="P99" s="65">
        <f>MAX(I99*1000/'Calculation Constants'!$B$14,O99*10*I99*1000/2/('Calculation Constants'!$B$12*1000*'Calculation Constants'!$B$13))</f>
        <v>22.055595367648788</v>
      </c>
      <c r="Q99" s="67">
        <f t="shared" si="31"/>
        <v>2369272.9724294674</v>
      </c>
      <c r="R99" s="27">
        <f>(1/(2*LOG(3.7*$I99/'Calculation Constants'!$B$2*1000)))^2</f>
        <v>8.4679866037394684E-3</v>
      </c>
      <c r="S99" s="19">
        <f t="shared" si="45"/>
        <v>0.45268811177167712</v>
      </c>
      <c r="T99" s="19">
        <f>IF($H99&gt;0,'Calculation Constants'!$B$9*Hydraulics!$K99^2/2/9.81/MAX($F$4:$F$253)*$H99,"")</f>
        <v>3.5282785359788842E-2</v>
      </c>
      <c r="U99" s="19">
        <f t="shared" si="46"/>
        <v>0.48797089713146596</v>
      </c>
      <c r="V99" s="19">
        <f t="shared" si="32"/>
        <v>0</v>
      </c>
      <c r="W99" s="19">
        <f t="shared" si="33"/>
        <v>305.95076477251791</v>
      </c>
      <c r="X99" s="23">
        <f t="shared" si="34"/>
        <v>1232.660764772518</v>
      </c>
      <c r="Y99" s="22">
        <f>(1/(2*LOG(3.7*$I99/'Calculation Constants'!$B$3*1000)))^2</f>
        <v>9.4904462912918219E-3</v>
      </c>
      <c r="Z99" s="19">
        <f t="shared" si="35"/>
        <v>0.50734754464280807</v>
      </c>
      <c r="AA99" s="19">
        <f>IF($H99&gt;0,'Calculation Constants'!$B$9*Hydraulics!$K99^2/2/9.81/MAX($F$4:$F$253)*$H99,"")</f>
        <v>3.5282785359788842E-2</v>
      </c>
      <c r="AB99" s="19">
        <f t="shared" si="54"/>
        <v>0.54263033000259686</v>
      </c>
      <c r="AC99" s="19">
        <f t="shared" si="36"/>
        <v>0</v>
      </c>
      <c r="AD99" s="19">
        <f t="shared" si="47"/>
        <v>300.75811864975617</v>
      </c>
      <c r="AE99" s="23">
        <f t="shared" si="37"/>
        <v>1227.4681186497562</v>
      </c>
      <c r="AF99" s="27">
        <f>(1/(2*LOG(3.7*$I99/'Calculation Constants'!$B$4*1000)))^2</f>
        <v>1.1152845500629007E-2</v>
      </c>
      <c r="AG99" s="19">
        <f t="shared" si="38"/>
        <v>0.59621735446906032</v>
      </c>
      <c r="AH99" s="19">
        <f>IF($H99&gt;0,'Calculation Constants'!$B$9*Hydraulics!$K99^2/2/9.81/MAX($F$4:$F$253)*$H99,"")</f>
        <v>3.5282785359788842E-2</v>
      </c>
      <c r="AI99" s="19">
        <f t="shared" si="48"/>
        <v>0.63150013982884912</v>
      </c>
      <c r="AJ99" s="19">
        <f t="shared" si="39"/>
        <v>0</v>
      </c>
      <c r="AK99" s="19">
        <f t="shared" si="49"/>
        <v>292.31548671625842</v>
      </c>
      <c r="AL99" s="23">
        <f t="shared" si="40"/>
        <v>1219.0254867162585</v>
      </c>
      <c r="AM99" s="22">
        <f>(1/(2*LOG(3.7*($I99-0.008)/'Calculation Constants'!$B$5*1000)))^2</f>
        <v>1.4104604303736145E-2</v>
      </c>
      <c r="AN99" s="19">
        <f t="shared" si="50"/>
        <v>0.75676661531854661</v>
      </c>
      <c r="AO99" s="19">
        <f>IF($H99&gt;0,'Calculation Constants'!$B$9*Hydraulics!$K99^2/2/9.81/MAX($F$4:$F$253)*$H99,"")</f>
        <v>3.5282785359788842E-2</v>
      </c>
      <c r="AP99" s="19">
        <f t="shared" si="51"/>
        <v>0.7920494006783354</v>
      </c>
      <c r="AQ99" s="19">
        <f t="shared" si="41"/>
        <v>0</v>
      </c>
      <c r="AR99" s="19">
        <f t="shared" si="52"/>
        <v>277.06330693556606</v>
      </c>
      <c r="AS99" s="23">
        <f t="shared" si="42"/>
        <v>1203.7733069355661</v>
      </c>
    </row>
    <row r="100" spans="5:45">
      <c r="E100" s="35" t="str">
        <f t="shared" si="28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3"/>
        <v>2</v>
      </c>
      <c r="I100" s="19">
        <v>2.2000000000000002</v>
      </c>
      <c r="J100" s="36">
        <f>'Flow Rate Calculations'!$B$7</f>
        <v>4.0831050228310497</v>
      </c>
      <c r="K100" s="36">
        <f t="shared" si="43"/>
        <v>1.0741261942924094</v>
      </c>
      <c r="L100" s="37">
        <f>$I100*$K100/'Calculation Constants'!$B$7</f>
        <v>2091219.139330355</v>
      </c>
      <c r="M100" s="37" t="str">
        <f t="shared" si="29"/>
        <v>Greater Dynamic Pressures</v>
      </c>
      <c r="N100" s="23">
        <f t="shared" si="44"/>
        <v>305.97179387538654</v>
      </c>
      <c r="O100" s="56">
        <f t="shared" si="30"/>
        <v>300.72448831975362</v>
      </c>
      <c r="P100" s="65">
        <f>MAX(I100*1000/'Calculation Constants'!$B$14,O100*10*I100*1000/2/('Calculation Constants'!$B$12*1000*'Calculation Constants'!$B$13))</f>
        <v>22.053129143448601</v>
      </c>
      <c r="Q100" s="67">
        <f t="shared" si="31"/>
        <v>2369010.7263917616</v>
      </c>
      <c r="R100" s="27">
        <f>(1/(2*LOG(3.7*$I100/'Calculation Constants'!$B$2*1000)))^2</f>
        <v>8.4679866037394684E-3</v>
      </c>
      <c r="S100" s="19">
        <f t="shared" si="45"/>
        <v>0.45268811177167712</v>
      </c>
      <c r="T100" s="19">
        <f>IF($H100&gt;0,'Calculation Constants'!$B$9*Hydraulics!$K100^2/2/9.81/MAX($F$4:$F$253)*$H100,"")</f>
        <v>3.5282785359788842E-2</v>
      </c>
      <c r="U100" s="19">
        <f t="shared" si="46"/>
        <v>0.48797089713146596</v>
      </c>
      <c r="V100" s="19">
        <f t="shared" si="32"/>
        <v>0</v>
      </c>
      <c r="W100" s="19">
        <f t="shared" si="33"/>
        <v>305.97179387538654</v>
      </c>
      <c r="X100" s="23">
        <f t="shared" si="34"/>
        <v>1232.1727938753866</v>
      </c>
      <c r="Y100" s="22">
        <f>(1/(2*LOG(3.7*$I100/'Calculation Constants'!$B$3*1000)))^2</f>
        <v>9.4904462912918219E-3</v>
      </c>
      <c r="Z100" s="19">
        <f t="shared" si="35"/>
        <v>0.50734754464280807</v>
      </c>
      <c r="AA100" s="19">
        <f>IF($H100&gt;0,'Calculation Constants'!$B$9*Hydraulics!$K100^2/2/9.81/MAX($F$4:$F$253)*$H100,"")</f>
        <v>3.5282785359788842E-2</v>
      </c>
      <c r="AB100" s="19">
        <f t="shared" si="54"/>
        <v>0.54263033000259686</v>
      </c>
      <c r="AC100" s="19">
        <f t="shared" si="36"/>
        <v>0</v>
      </c>
      <c r="AD100" s="19">
        <f t="shared" si="47"/>
        <v>300.72448831975362</v>
      </c>
      <c r="AE100" s="23">
        <f t="shared" si="37"/>
        <v>1226.9254883197536</v>
      </c>
      <c r="AF100" s="27">
        <f>(1/(2*LOG(3.7*$I100/'Calculation Constants'!$B$4*1000)))^2</f>
        <v>1.1152845500629007E-2</v>
      </c>
      <c r="AG100" s="19">
        <f t="shared" si="38"/>
        <v>0.59621735446906032</v>
      </c>
      <c r="AH100" s="19">
        <f>IF($H100&gt;0,'Calculation Constants'!$B$9*Hydraulics!$K100^2/2/9.81/MAX($F$4:$F$253)*$H100,"")</f>
        <v>3.5282785359788842E-2</v>
      </c>
      <c r="AI100" s="19">
        <f t="shared" si="48"/>
        <v>0.63150013982884912</v>
      </c>
      <c r="AJ100" s="19">
        <f t="shared" si="39"/>
        <v>0</v>
      </c>
      <c r="AK100" s="19">
        <f t="shared" si="49"/>
        <v>292.19298657642958</v>
      </c>
      <c r="AL100" s="23">
        <f t="shared" si="40"/>
        <v>1218.3939865764296</v>
      </c>
      <c r="AM100" s="22">
        <f>(1/(2*LOG(3.7*($I100-0.008)/'Calculation Constants'!$B$5*1000)))^2</f>
        <v>1.4104604303736145E-2</v>
      </c>
      <c r="AN100" s="19">
        <f t="shared" si="50"/>
        <v>0.75676661531854661</v>
      </c>
      <c r="AO100" s="19">
        <f>IF($H100&gt;0,'Calculation Constants'!$B$9*Hydraulics!$K100^2/2/9.81/MAX($F$4:$F$253)*$H100,"")</f>
        <v>3.5282785359788842E-2</v>
      </c>
      <c r="AP100" s="19">
        <f t="shared" si="51"/>
        <v>0.7920494006783354</v>
      </c>
      <c r="AQ100" s="19">
        <f t="shared" si="41"/>
        <v>0</v>
      </c>
      <c r="AR100" s="19">
        <f t="shared" si="52"/>
        <v>276.78025753488782</v>
      </c>
      <c r="AS100" s="23">
        <f t="shared" si="42"/>
        <v>1202.9812575348878</v>
      </c>
    </row>
    <row r="101" spans="5:45">
      <c r="E101" s="35" t="str">
        <f t="shared" si="28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3"/>
        <v>2</v>
      </c>
      <c r="I101" s="19">
        <v>2.2000000000000002</v>
      </c>
      <c r="J101" s="36">
        <f>'Flow Rate Calculations'!$B$7</f>
        <v>4.0831050228310497</v>
      </c>
      <c r="K101" s="36">
        <f t="shared" si="43"/>
        <v>1.0741261942924094</v>
      </c>
      <c r="L101" s="37">
        <f>$I101*$K101/'Calculation Constants'!$B$7</f>
        <v>2091219.139330355</v>
      </c>
      <c r="M101" s="37" t="str">
        <f t="shared" si="29"/>
        <v>Greater Dynamic Pressures</v>
      </c>
      <c r="N101" s="23">
        <f t="shared" si="44"/>
        <v>307.17582297825516</v>
      </c>
      <c r="O101" s="56">
        <f t="shared" si="30"/>
        <v>301.87385798975106</v>
      </c>
      <c r="P101" s="65">
        <f>MAX(I101*1000/'Calculation Constants'!$B$14,O101*10*I101*1000/2/('Calculation Constants'!$B$12*1000*'Calculation Constants'!$B$13))</f>
        <v>22.137416252581748</v>
      </c>
      <c r="Q101" s="67">
        <f t="shared" si="31"/>
        <v>2377973.0589743196</v>
      </c>
      <c r="R101" s="27">
        <f>(1/(2*LOG(3.7*$I101/'Calculation Constants'!$B$2*1000)))^2</f>
        <v>8.4679866037394684E-3</v>
      </c>
      <c r="S101" s="19">
        <f t="shared" si="45"/>
        <v>0.45268811177167712</v>
      </c>
      <c r="T101" s="19">
        <f>IF($H101&gt;0,'Calculation Constants'!$B$9*Hydraulics!$K101^2/2/9.81/MAX($F$4:$F$253)*$H101,"")</f>
        <v>3.5282785359788842E-2</v>
      </c>
      <c r="U101" s="19">
        <f t="shared" si="46"/>
        <v>0.48797089713146596</v>
      </c>
      <c r="V101" s="19">
        <f t="shared" si="32"/>
        <v>0</v>
      </c>
      <c r="W101" s="19">
        <f t="shared" si="33"/>
        <v>307.17582297825516</v>
      </c>
      <c r="X101" s="23">
        <f t="shared" si="34"/>
        <v>1231.6848229782552</v>
      </c>
      <c r="Y101" s="22">
        <f>(1/(2*LOG(3.7*$I101/'Calculation Constants'!$B$3*1000)))^2</f>
        <v>9.4904462912918219E-3</v>
      </c>
      <c r="Z101" s="19">
        <f t="shared" si="35"/>
        <v>0.50734754464280807</v>
      </c>
      <c r="AA101" s="19">
        <f>IF($H101&gt;0,'Calculation Constants'!$B$9*Hydraulics!$K101^2/2/9.81/MAX($F$4:$F$253)*$H101,"")</f>
        <v>3.5282785359788842E-2</v>
      </c>
      <c r="AB101" s="19">
        <f t="shared" si="54"/>
        <v>0.54263033000259686</v>
      </c>
      <c r="AC101" s="19">
        <f t="shared" si="36"/>
        <v>0</v>
      </c>
      <c r="AD101" s="19">
        <f t="shared" si="47"/>
        <v>301.87385798975106</v>
      </c>
      <c r="AE101" s="23">
        <f t="shared" si="37"/>
        <v>1226.3828579897511</v>
      </c>
      <c r="AF101" s="27">
        <f>(1/(2*LOG(3.7*$I101/'Calculation Constants'!$B$4*1000)))^2</f>
        <v>1.1152845500629007E-2</v>
      </c>
      <c r="AG101" s="19">
        <f t="shared" si="38"/>
        <v>0.59621735446906032</v>
      </c>
      <c r="AH101" s="19">
        <f>IF($H101&gt;0,'Calculation Constants'!$B$9*Hydraulics!$K101^2/2/9.81/MAX($F$4:$F$253)*$H101,"")</f>
        <v>3.5282785359788842E-2</v>
      </c>
      <c r="AI101" s="19">
        <f t="shared" si="48"/>
        <v>0.63150013982884912</v>
      </c>
      <c r="AJ101" s="19">
        <f t="shared" si="39"/>
        <v>0</v>
      </c>
      <c r="AK101" s="19">
        <f t="shared" si="49"/>
        <v>293.25348643660072</v>
      </c>
      <c r="AL101" s="23">
        <f t="shared" si="40"/>
        <v>1217.7624864366007</v>
      </c>
      <c r="AM101" s="22">
        <f>(1/(2*LOG(3.7*($I101-0.008)/'Calculation Constants'!$B$5*1000)))^2</f>
        <v>1.4104604303736145E-2</v>
      </c>
      <c r="AN101" s="19">
        <f t="shared" si="50"/>
        <v>0.75676661531854661</v>
      </c>
      <c r="AO101" s="19">
        <f>IF($H101&gt;0,'Calculation Constants'!$B$9*Hydraulics!$K101^2/2/9.81/MAX($F$4:$F$253)*$H101,"")</f>
        <v>3.5282785359788842E-2</v>
      </c>
      <c r="AP101" s="19">
        <f t="shared" si="51"/>
        <v>0.7920494006783354</v>
      </c>
      <c r="AQ101" s="19">
        <f t="shared" si="41"/>
        <v>0</v>
      </c>
      <c r="AR101" s="19">
        <f t="shared" si="52"/>
        <v>277.68020813420958</v>
      </c>
      <c r="AS101" s="23">
        <f t="shared" si="42"/>
        <v>1202.1892081342096</v>
      </c>
    </row>
    <row r="102" spans="5:45">
      <c r="E102" s="35" t="str">
        <f t="shared" si="28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3"/>
        <v>2</v>
      </c>
      <c r="I102" s="19">
        <v>2.2000000000000002</v>
      </c>
      <c r="J102" s="36">
        <f>'Flow Rate Calculations'!$B$7</f>
        <v>4.0831050228310497</v>
      </c>
      <c r="K102" s="36">
        <f t="shared" si="43"/>
        <v>1.0741261942924094</v>
      </c>
      <c r="L102" s="37">
        <f>$I102*$K102/'Calculation Constants'!$B$7</f>
        <v>2091219.139330355</v>
      </c>
      <c r="M102" s="37" t="str">
        <f t="shared" si="29"/>
        <v>Greater Dynamic Pressures</v>
      </c>
      <c r="N102" s="23">
        <f t="shared" si="44"/>
        <v>307.77985208112375</v>
      </c>
      <c r="O102" s="56">
        <f t="shared" si="30"/>
        <v>302.42322765974848</v>
      </c>
      <c r="P102" s="65">
        <f>MAX(I102*1000/'Calculation Constants'!$B$14,O102*10*I102*1000/2/('Calculation Constants'!$B$12*1000*'Calculation Constants'!$B$13))</f>
        <v>22.177703361714894</v>
      </c>
      <c r="Q102" s="67">
        <f t="shared" si="31"/>
        <v>2382256.5800275425</v>
      </c>
      <c r="R102" s="27">
        <f>(1/(2*LOG(3.7*$I102/'Calculation Constants'!$B$2*1000)))^2</f>
        <v>8.4679866037394684E-3</v>
      </c>
      <c r="S102" s="19">
        <f t="shared" si="45"/>
        <v>0.45268811177167712</v>
      </c>
      <c r="T102" s="19">
        <f>IF($H102&gt;0,'Calculation Constants'!$B$9*Hydraulics!$K102^2/2/9.81/MAX($F$4:$F$253)*$H102,"")</f>
        <v>3.5282785359788842E-2</v>
      </c>
      <c r="U102" s="19">
        <f t="shared" si="46"/>
        <v>0.48797089713146596</v>
      </c>
      <c r="V102" s="19">
        <f t="shared" si="32"/>
        <v>0</v>
      </c>
      <c r="W102" s="19">
        <f t="shared" si="33"/>
        <v>307.77985208112375</v>
      </c>
      <c r="X102" s="23">
        <f t="shared" si="34"/>
        <v>1231.1968520811238</v>
      </c>
      <c r="Y102" s="22">
        <f>(1/(2*LOG(3.7*$I102/'Calculation Constants'!$B$3*1000)))^2</f>
        <v>9.4904462912918219E-3</v>
      </c>
      <c r="Z102" s="19">
        <f t="shared" si="35"/>
        <v>0.50734754464280807</v>
      </c>
      <c r="AA102" s="19">
        <f>IF($H102&gt;0,'Calculation Constants'!$B$9*Hydraulics!$K102^2/2/9.81/MAX($F$4:$F$253)*$H102,"")</f>
        <v>3.5282785359788842E-2</v>
      </c>
      <c r="AB102" s="19">
        <f t="shared" si="54"/>
        <v>0.54263033000259686</v>
      </c>
      <c r="AC102" s="19">
        <f t="shared" si="36"/>
        <v>0</v>
      </c>
      <c r="AD102" s="19">
        <f t="shared" si="47"/>
        <v>302.42322765974848</v>
      </c>
      <c r="AE102" s="23">
        <f t="shared" si="37"/>
        <v>1225.8402276597485</v>
      </c>
      <c r="AF102" s="27">
        <f>(1/(2*LOG(3.7*$I102/'Calculation Constants'!$B$4*1000)))^2</f>
        <v>1.1152845500629007E-2</v>
      </c>
      <c r="AG102" s="19">
        <f t="shared" si="38"/>
        <v>0.59621735446906032</v>
      </c>
      <c r="AH102" s="19">
        <f>IF($H102&gt;0,'Calculation Constants'!$B$9*Hydraulics!$K102^2/2/9.81/MAX($F$4:$F$253)*$H102,"")</f>
        <v>3.5282785359788842E-2</v>
      </c>
      <c r="AI102" s="19">
        <f t="shared" si="48"/>
        <v>0.63150013982884912</v>
      </c>
      <c r="AJ102" s="19">
        <f t="shared" si="39"/>
        <v>0</v>
      </c>
      <c r="AK102" s="19">
        <f t="shared" si="49"/>
        <v>293.71398629677185</v>
      </c>
      <c r="AL102" s="23">
        <f t="shared" si="40"/>
        <v>1217.1309862967719</v>
      </c>
      <c r="AM102" s="22">
        <f>(1/(2*LOG(3.7*($I102-0.008)/'Calculation Constants'!$B$5*1000)))^2</f>
        <v>1.4104604303736145E-2</v>
      </c>
      <c r="AN102" s="19">
        <f t="shared" si="50"/>
        <v>0.75676661531854661</v>
      </c>
      <c r="AO102" s="19">
        <f>IF($H102&gt;0,'Calculation Constants'!$B$9*Hydraulics!$K102^2/2/9.81/MAX($F$4:$F$253)*$H102,"")</f>
        <v>3.5282785359788842E-2</v>
      </c>
      <c r="AP102" s="19">
        <f t="shared" si="51"/>
        <v>0.7920494006783354</v>
      </c>
      <c r="AQ102" s="19">
        <f t="shared" si="41"/>
        <v>0</v>
      </c>
      <c r="AR102" s="19">
        <f t="shared" si="52"/>
        <v>277.98015873353131</v>
      </c>
      <c r="AS102" s="23">
        <f t="shared" si="42"/>
        <v>1201.3971587335313</v>
      </c>
    </row>
    <row r="103" spans="5:45">
      <c r="E103" s="35" t="str">
        <f t="shared" si="28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3"/>
        <v>2</v>
      </c>
      <c r="I103" s="19">
        <v>2.2000000000000002</v>
      </c>
      <c r="J103" s="36">
        <f>'Flow Rate Calculations'!$B$7</f>
        <v>4.0831050228310497</v>
      </c>
      <c r="K103" s="36">
        <f t="shared" si="43"/>
        <v>1.0741261942924094</v>
      </c>
      <c r="L103" s="37">
        <f>$I103*$K103/'Calculation Constants'!$B$7</f>
        <v>2091219.139330355</v>
      </c>
      <c r="M103" s="37" t="str">
        <f t="shared" si="29"/>
        <v>Greater Dynamic Pressures</v>
      </c>
      <c r="N103" s="23">
        <f t="shared" si="44"/>
        <v>307.69788118399242</v>
      </c>
      <c r="O103" s="56">
        <f t="shared" si="30"/>
        <v>302.28659732974597</v>
      </c>
      <c r="P103" s="65">
        <f>MAX(I103*1000/'Calculation Constants'!$B$14,O103*10*I103*1000/2/('Calculation Constants'!$B$12*1000*'Calculation Constants'!$B$13))</f>
        <v>22.167683804181372</v>
      </c>
      <c r="Q103" s="67">
        <f t="shared" si="31"/>
        <v>2381191.2669796217</v>
      </c>
      <c r="R103" s="27">
        <f>(1/(2*LOG(3.7*$I103/'Calculation Constants'!$B$2*1000)))^2</f>
        <v>8.4679866037394684E-3</v>
      </c>
      <c r="S103" s="19">
        <f t="shared" si="45"/>
        <v>0.45268811177167712</v>
      </c>
      <c r="T103" s="19">
        <f>IF($H103&gt;0,'Calculation Constants'!$B$9*Hydraulics!$K103^2/2/9.81/MAX($F$4:$F$253)*$H103,"")</f>
        <v>3.5282785359788842E-2</v>
      </c>
      <c r="U103" s="19">
        <f t="shared" si="46"/>
        <v>0.48797089713146596</v>
      </c>
      <c r="V103" s="19">
        <f t="shared" si="32"/>
        <v>0</v>
      </c>
      <c r="W103" s="19">
        <f t="shared" si="33"/>
        <v>307.69788118399242</v>
      </c>
      <c r="X103" s="23">
        <f t="shared" si="34"/>
        <v>1230.7088811839924</v>
      </c>
      <c r="Y103" s="22">
        <f>(1/(2*LOG(3.7*$I103/'Calculation Constants'!$B$3*1000)))^2</f>
        <v>9.4904462912918219E-3</v>
      </c>
      <c r="Z103" s="19">
        <f t="shared" si="35"/>
        <v>0.50734754464280807</v>
      </c>
      <c r="AA103" s="19">
        <f>IF($H103&gt;0,'Calculation Constants'!$B$9*Hydraulics!$K103^2/2/9.81/MAX($F$4:$F$253)*$H103,"")</f>
        <v>3.5282785359788842E-2</v>
      </c>
      <c r="AB103" s="19">
        <f t="shared" si="54"/>
        <v>0.54263033000259686</v>
      </c>
      <c r="AC103" s="19">
        <f t="shared" si="36"/>
        <v>0</v>
      </c>
      <c r="AD103" s="19">
        <f t="shared" si="47"/>
        <v>302.28659732974597</v>
      </c>
      <c r="AE103" s="23">
        <f t="shared" si="37"/>
        <v>1225.2975973297459</v>
      </c>
      <c r="AF103" s="27">
        <f>(1/(2*LOG(3.7*$I103/'Calculation Constants'!$B$4*1000)))^2</f>
        <v>1.1152845500629007E-2</v>
      </c>
      <c r="AG103" s="19">
        <f t="shared" si="38"/>
        <v>0.59621735446906032</v>
      </c>
      <c r="AH103" s="19">
        <f>IF($H103&gt;0,'Calculation Constants'!$B$9*Hydraulics!$K103^2/2/9.81/MAX($F$4:$F$253)*$H103,"")</f>
        <v>3.5282785359788842E-2</v>
      </c>
      <c r="AI103" s="19">
        <f t="shared" si="48"/>
        <v>0.63150013982884912</v>
      </c>
      <c r="AJ103" s="19">
        <f t="shared" si="39"/>
        <v>0</v>
      </c>
      <c r="AK103" s="19">
        <f t="shared" si="49"/>
        <v>293.48848615694305</v>
      </c>
      <c r="AL103" s="23">
        <f t="shared" si="40"/>
        <v>1216.499486156943</v>
      </c>
      <c r="AM103" s="22">
        <f>(1/(2*LOG(3.7*($I103-0.008)/'Calculation Constants'!$B$5*1000)))^2</f>
        <v>1.4104604303736145E-2</v>
      </c>
      <c r="AN103" s="19">
        <f t="shared" si="50"/>
        <v>0.75676661531854661</v>
      </c>
      <c r="AO103" s="19">
        <f>IF($H103&gt;0,'Calculation Constants'!$B$9*Hydraulics!$K103^2/2/9.81/MAX($F$4:$F$253)*$H103,"")</f>
        <v>3.5282785359788842E-2</v>
      </c>
      <c r="AP103" s="19">
        <f t="shared" si="51"/>
        <v>0.7920494006783354</v>
      </c>
      <c r="AQ103" s="19">
        <f t="shared" si="41"/>
        <v>0</v>
      </c>
      <c r="AR103" s="19">
        <f t="shared" si="52"/>
        <v>277.59410933285312</v>
      </c>
      <c r="AS103" s="23">
        <f t="shared" si="42"/>
        <v>1200.6051093328531</v>
      </c>
    </row>
    <row r="104" spans="5:45">
      <c r="E104" s="35" t="str">
        <f t="shared" si="28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3"/>
        <v>2</v>
      </c>
      <c r="I104" s="19">
        <v>2.2000000000000002</v>
      </c>
      <c r="J104" s="36">
        <f>'Flow Rate Calculations'!$B$7</f>
        <v>4.0831050228310497</v>
      </c>
      <c r="K104" s="36">
        <f t="shared" si="43"/>
        <v>1.0741261942924094</v>
      </c>
      <c r="L104" s="37">
        <f>$I104*$K104/'Calculation Constants'!$B$7</f>
        <v>2091219.139330355</v>
      </c>
      <c r="M104" s="37" t="str">
        <f t="shared" si="29"/>
        <v>Greater Dynamic Pressures</v>
      </c>
      <c r="N104" s="23">
        <f t="shared" si="44"/>
        <v>308.25191028686095</v>
      </c>
      <c r="O104" s="56">
        <f t="shared" si="30"/>
        <v>302.78596699974332</v>
      </c>
      <c r="P104" s="65">
        <f>MAX(I104*1000/'Calculation Constants'!$B$14,O104*10*I104*1000/2/('Calculation Constants'!$B$12*1000*'Calculation Constants'!$B$13))</f>
        <v>22.204304246647844</v>
      </c>
      <c r="Q104" s="67">
        <f t="shared" si="31"/>
        <v>2385084.8275122051</v>
      </c>
      <c r="R104" s="27">
        <f>(1/(2*LOG(3.7*$I104/'Calculation Constants'!$B$2*1000)))^2</f>
        <v>8.4679866037394684E-3</v>
      </c>
      <c r="S104" s="19">
        <f t="shared" si="45"/>
        <v>0.45268811177167712</v>
      </c>
      <c r="T104" s="19">
        <f>IF($H104&gt;0,'Calculation Constants'!$B$9*Hydraulics!$K104^2/2/9.81/MAX($F$4:$F$253)*$H104,"")</f>
        <v>3.5282785359788842E-2</v>
      </c>
      <c r="U104" s="19">
        <f t="shared" si="46"/>
        <v>0.48797089713146596</v>
      </c>
      <c r="V104" s="19">
        <f t="shared" si="32"/>
        <v>0</v>
      </c>
      <c r="W104" s="19">
        <f t="shared" si="33"/>
        <v>308.25191028686095</v>
      </c>
      <c r="X104" s="23">
        <f t="shared" si="34"/>
        <v>1230.220910286861</v>
      </c>
      <c r="Y104" s="22">
        <f>(1/(2*LOG(3.7*$I104/'Calculation Constants'!$B$3*1000)))^2</f>
        <v>9.4904462912918219E-3</v>
      </c>
      <c r="Z104" s="19">
        <f t="shared" si="35"/>
        <v>0.50734754464280807</v>
      </c>
      <c r="AA104" s="19">
        <f>IF($H104&gt;0,'Calculation Constants'!$B$9*Hydraulics!$K104^2/2/9.81/MAX($F$4:$F$253)*$H104,"")</f>
        <v>3.5282785359788842E-2</v>
      </c>
      <c r="AB104" s="19">
        <f t="shared" si="54"/>
        <v>0.54263033000259686</v>
      </c>
      <c r="AC104" s="19">
        <f t="shared" si="36"/>
        <v>0</v>
      </c>
      <c r="AD104" s="19">
        <f t="shared" si="47"/>
        <v>302.78596699974332</v>
      </c>
      <c r="AE104" s="23">
        <f t="shared" si="37"/>
        <v>1224.7549669997434</v>
      </c>
      <c r="AF104" s="27">
        <f>(1/(2*LOG(3.7*$I104/'Calculation Constants'!$B$4*1000)))^2</f>
        <v>1.1152845500629007E-2</v>
      </c>
      <c r="AG104" s="19">
        <f t="shared" si="38"/>
        <v>0.59621735446906032</v>
      </c>
      <c r="AH104" s="19">
        <f>IF($H104&gt;0,'Calculation Constants'!$B$9*Hydraulics!$K104^2/2/9.81/MAX($F$4:$F$253)*$H104,"")</f>
        <v>3.5282785359788842E-2</v>
      </c>
      <c r="AI104" s="19">
        <f t="shared" si="48"/>
        <v>0.63150013982884912</v>
      </c>
      <c r="AJ104" s="19">
        <f t="shared" si="39"/>
        <v>0</v>
      </c>
      <c r="AK104" s="19">
        <f t="shared" si="49"/>
        <v>293.89898601711411</v>
      </c>
      <c r="AL104" s="23">
        <f t="shared" si="40"/>
        <v>1215.8679860171142</v>
      </c>
      <c r="AM104" s="22">
        <f>(1/(2*LOG(3.7*($I104-0.008)/'Calculation Constants'!$B$5*1000)))^2</f>
        <v>1.4104604303736145E-2</v>
      </c>
      <c r="AN104" s="19">
        <f t="shared" si="50"/>
        <v>0.75676661531854661</v>
      </c>
      <c r="AO104" s="19">
        <f>IF($H104&gt;0,'Calculation Constants'!$B$9*Hydraulics!$K104^2/2/9.81/MAX($F$4:$F$253)*$H104,"")</f>
        <v>3.5282785359788842E-2</v>
      </c>
      <c r="AP104" s="19">
        <f t="shared" si="51"/>
        <v>0.7920494006783354</v>
      </c>
      <c r="AQ104" s="19">
        <f t="shared" si="41"/>
        <v>0</v>
      </c>
      <c r="AR104" s="19">
        <f t="shared" si="52"/>
        <v>277.84405993217479</v>
      </c>
      <c r="AS104" s="23">
        <f t="shared" si="42"/>
        <v>1199.8130599321748</v>
      </c>
    </row>
    <row r="105" spans="5:45">
      <c r="E105" s="35" t="str">
        <f t="shared" si="28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3"/>
        <v>2</v>
      </c>
      <c r="I105" s="19">
        <v>2.2000000000000002</v>
      </c>
      <c r="J105" s="36">
        <f>'Flow Rate Calculations'!$B$7</f>
        <v>4.0831050228310497</v>
      </c>
      <c r="K105" s="36">
        <f t="shared" si="43"/>
        <v>1.0741261942924094</v>
      </c>
      <c r="L105" s="37">
        <f>$I105*$K105/'Calculation Constants'!$B$7</f>
        <v>2091219.139330355</v>
      </c>
      <c r="M105" s="37" t="str">
        <f t="shared" si="29"/>
        <v>Greater Dynamic Pressures</v>
      </c>
      <c r="N105" s="23">
        <f t="shared" si="44"/>
        <v>309.07193938972966</v>
      </c>
      <c r="O105" s="56">
        <f t="shared" si="30"/>
        <v>303.55133666974086</v>
      </c>
      <c r="P105" s="65">
        <f>MAX(I105*1000/'Calculation Constants'!$B$14,O105*10*I105*1000/2/('Calculation Constants'!$B$12*1000*'Calculation Constants'!$B$13))</f>
        <v>22.260431355780998</v>
      </c>
      <c r="Q105" s="67">
        <f t="shared" si="31"/>
        <v>2391052.1200844548</v>
      </c>
      <c r="R105" s="27">
        <f>(1/(2*LOG(3.7*$I105/'Calculation Constants'!$B$2*1000)))^2</f>
        <v>8.4679866037394684E-3</v>
      </c>
      <c r="S105" s="19">
        <f t="shared" si="45"/>
        <v>0.45268811177167712</v>
      </c>
      <c r="T105" s="19">
        <f>IF($H105&gt;0,'Calculation Constants'!$B$9*Hydraulics!$K105^2/2/9.81/MAX($F$4:$F$253)*$H105,"")</f>
        <v>3.5282785359788842E-2</v>
      </c>
      <c r="U105" s="19">
        <f t="shared" si="46"/>
        <v>0.48797089713146596</v>
      </c>
      <c r="V105" s="19">
        <f t="shared" si="32"/>
        <v>0</v>
      </c>
      <c r="W105" s="19">
        <f t="shared" si="33"/>
        <v>309.07193938972966</v>
      </c>
      <c r="X105" s="23">
        <f t="shared" si="34"/>
        <v>1229.7329393897296</v>
      </c>
      <c r="Y105" s="22">
        <f>(1/(2*LOG(3.7*$I105/'Calculation Constants'!$B$3*1000)))^2</f>
        <v>9.4904462912918219E-3</v>
      </c>
      <c r="Z105" s="19">
        <f t="shared" si="35"/>
        <v>0.50734754464280807</v>
      </c>
      <c r="AA105" s="19">
        <f>IF($H105&gt;0,'Calculation Constants'!$B$9*Hydraulics!$K105^2/2/9.81/MAX($F$4:$F$253)*$H105,"")</f>
        <v>3.5282785359788842E-2</v>
      </c>
      <c r="AB105" s="19">
        <f t="shared" si="54"/>
        <v>0.54263033000259686</v>
      </c>
      <c r="AC105" s="19">
        <f t="shared" si="36"/>
        <v>0</v>
      </c>
      <c r="AD105" s="19">
        <f t="shared" si="47"/>
        <v>303.55133666974086</v>
      </c>
      <c r="AE105" s="23">
        <f t="shared" si="37"/>
        <v>1224.2123366697408</v>
      </c>
      <c r="AF105" s="27">
        <f>(1/(2*LOG(3.7*$I105/'Calculation Constants'!$B$4*1000)))^2</f>
        <v>1.1152845500629007E-2</v>
      </c>
      <c r="AG105" s="19">
        <f t="shared" si="38"/>
        <v>0.59621735446906032</v>
      </c>
      <c r="AH105" s="19">
        <f>IF($H105&gt;0,'Calculation Constants'!$B$9*Hydraulics!$K105^2/2/9.81/MAX($F$4:$F$253)*$H105,"")</f>
        <v>3.5282785359788842E-2</v>
      </c>
      <c r="AI105" s="19">
        <f t="shared" si="48"/>
        <v>0.63150013982884912</v>
      </c>
      <c r="AJ105" s="19">
        <f t="shared" si="39"/>
        <v>0</v>
      </c>
      <c r="AK105" s="19">
        <f t="shared" si="49"/>
        <v>294.57548587728536</v>
      </c>
      <c r="AL105" s="23">
        <f t="shared" si="40"/>
        <v>1215.2364858772853</v>
      </c>
      <c r="AM105" s="22">
        <f>(1/(2*LOG(3.7*($I105-0.008)/'Calculation Constants'!$B$5*1000)))^2</f>
        <v>1.4104604303736145E-2</v>
      </c>
      <c r="AN105" s="19">
        <f t="shared" si="50"/>
        <v>0.75676661531854661</v>
      </c>
      <c r="AO105" s="19">
        <f>IF($H105&gt;0,'Calculation Constants'!$B$9*Hydraulics!$K105^2/2/9.81/MAX($F$4:$F$253)*$H105,"")</f>
        <v>3.5282785359788842E-2</v>
      </c>
      <c r="AP105" s="19">
        <f t="shared" si="51"/>
        <v>0.7920494006783354</v>
      </c>
      <c r="AQ105" s="19">
        <f t="shared" si="41"/>
        <v>0</v>
      </c>
      <c r="AR105" s="19">
        <f t="shared" si="52"/>
        <v>278.36001053149664</v>
      </c>
      <c r="AS105" s="23">
        <f t="shared" si="42"/>
        <v>1199.0210105314966</v>
      </c>
    </row>
    <row r="106" spans="5:45">
      <c r="E106" s="35" t="str">
        <f t="shared" si="28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3"/>
        <v>2</v>
      </c>
      <c r="I106" s="19">
        <v>2.2000000000000002</v>
      </c>
      <c r="J106" s="36">
        <f>'Flow Rate Calculations'!$B$7</f>
        <v>4.0831050228310497</v>
      </c>
      <c r="K106" s="36">
        <f t="shared" si="43"/>
        <v>1.0741261942924094</v>
      </c>
      <c r="L106" s="37">
        <f>$I106*$K106/'Calculation Constants'!$B$7</f>
        <v>2091219.139330355</v>
      </c>
      <c r="M106" s="37" t="str">
        <f t="shared" si="29"/>
        <v>Greater Dynamic Pressures</v>
      </c>
      <c r="N106" s="23">
        <f t="shared" si="44"/>
        <v>309.00196849259817</v>
      </c>
      <c r="O106" s="56">
        <f t="shared" si="30"/>
        <v>303.42670633973819</v>
      </c>
      <c r="P106" s="65">
        <f>MAX(I106*1000/'Calculation Constants'!$B$14,O106*10*I106*1000/2/('Calculation Constants'!$B$12*1000*'Calculation Constants'!$B$13))</f>
        <v>22.251291798247468</v>
      </c>
      <c r="Q106" s="67">
        <f t="shared" si="31"/>
        <v>2390080.4465782307</v>
      </c>
      <c r="R106" s="27">
        <f>(1/(2*LOG(3.7*$I106/'Calculation Constants'!$B$2*1000)))^2</f>
        <v>8.4679866037394684E-3</v>
      </c>
      <c r="S106" s="19">
        <f t="shared" si="45"/>
        <v>0.45268811177167712</v>
      </c>
      <c r="T106" s="19">
        <f>IF($H106&gt;0,'Calculation Constants'!$B$9*Hydraulics!$K106^2/2/9.81/MAX($F$4:$F$253)*$H106,"")</f>
        <v>3.5282785359788842E-2</v>
      </c>
      <c r="U106" s="19">
        <f t="shared" si="46"/>
        <v>0.48797089713146596</v>
      </c>
      <c r="V106" s="19">
        <f t="shared" si="32"/>
        <v>0</v>
      </c>
      <c r="W106" s="19">
        <f t="shared" si="33"/>
        <v>309.00196849259817</v>
      </c>
      <c r="X106" s="23">
        <f t="shared" si="34"/>
        <v>1229.2449684925982</v>
      </c>
      <c r="Y106" s="22">
        <f>(1/(2*LOG(3.7*$I106/'Calculation Constants'!$B$3*1000)))^2</f>
        <v>9.4904462912918219E-3</v>
      </c>
      <c r="Z106" s="19">
        <f t="shared" si="35"/>
        <v>0.50734754464280807</v>
      </c>
      <c r="AA106" s="19">
        <f>IF($H106&gt;0,'Calculation Constants'!$B$9*Hydraulics!$K106^2/2/9.81/MAX($F$4:$F$253)*$H106,"")</f>
        <v>3.5282785359788842E-2</v>
      </c>
      <c r="AB106" s="19">
        <f t="shared" si="54"/>
        <v>0.54263033000259686</v>
      </c>
      <c r="AC106" s="19">
        <f t="shared" si="36"/>
        <v>0</v>
      </c>
      <c r="AD106" s="19">
        <f t="shared" si="47"/>
        <v>303.42670633973819</v>
      </c>
      <c r="AE106" s="23">
        <f t="shared" si="37"/>
        <v>1223.6697063397382</v>
      </c>
      <c r="AF106" s="27">
        <f>(1/(2*LOG(3.7*$I106/'Calculation Constants'!$B$4*1000)))^2</f>
        <v>1.1152845500629007E-2</v>
      </c>
      <c r="AG106" s="19">
        <f t="shared" si="38"/>
        <v>0.59621735446906032</v>
      </c>
      <c r="AH106" s="19">
        <f>IF($H106&gt;0,'Calculation Constants'!$B$9*Hydraulics!$K106^2/2/9.81/MAX($F$4:$F$253)*$H106,"")</f>
        <v>3.5282785359788842E-2</v>
      </c>
      <c r="AI106" s="19">
        <f t="shared" si="48"/>
        <v>0.63150013982884912</v>
      </c>
      <c r="AJ106" s="19">
        <f t="shared" si="39"/>
        <v>0</v>
      </c>
      <c r="AK106" s="19">
        <f t="shared" si="49"/>
        <v>294.36198573745639</v>
      </c>
      <c r="AL106" s="23">
        <f t="shared" si="40"/>
        <v>1214.6049857374564</v>
      </c>
      <c r="AM106" s="22">
        <f>(1/(2*LOG(3.7*($I106-0.008)/'Calculation Constants'!$B$5*1000)))^2</f>
        <v>1.4104604303736145E-2</v>
      </c>
      <c r="AN106" s="19">
        <f t="shared" si="50"/>
        <v>0.75676661531854661</v>
      </c>
      <c r="AO106" s="19">
        <f>IF($H106&gt;0,'Calculation Constants'!$B$9*Hydraulics!$K106^2/2/9.81/MAX($F$4:$F$253)*$H106,"")</f>
        <v>3.5282785359788842E-2</v>
      </c>
      <c r="AP106" s="19">
        <f t="shared" si="51"/>
        <v>0.7920494006783354</v>
      </c>
      <c r="AQ106" s="19">
        <f t="shared" si="41"/>
        <v>0</v>
      </c>
      <c r="AR106" s="19">
        <f t="shared" si="52"/>
        <v>277.98596113081828</v>
      </c>
      <c r="AS106" s="23">
        <f t="shared" si="42"/>
        <v>1198.2289611308183</v>
      </c>
    </row>
    <row r="107" spans="5:45">
      <c r="E107" s="35" t="str">
        <f t="shared" si="28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3"/>
        <v>2</v>
      </c>
      <c r="I107" s="19">
        <v>2.2000000000000002</v>
      </c>
      <c r="J107" s="36">
        <f>'Flow Rate Calculations'!$B$7</f>
        <v>4.0831050228310497</v>
      </c>
      <c r="K107" s="36">
        <f t="shared" si="43"/>
        <v>1.0741261942924094</v>
      </c>
      <c r="L107" s="37">
        <f>$I107*$K107/'Calculation Constants'!$B$7</f>
        <v>2091219.139330355</v>
      </c>
      <c r="M107" s="37" t="str">
        <f t="shared" si="29"/>
        <v>Greater Dynamic Pressures</v>
      </c>
      <c r="N107" s="23">
        <f t="shared" si="44"/>
        <v>309.4599975954668</v>
      </c>
      <c r="O107" s="56">
        <f t="shared" si="30"/>
        <v>303.83007600973565</v>
      </c>
      <c r="P107" s="65">
        <f>MAX(I107*1000/'Calculation Constants'!$B$14,O107*10*I107*1000/2/('Calculation Constants'!$B$12*1000*'Calculation Constants'!$B$13))</f>
        <v>22.280872240713951</v>
      </c>
      <c r="Q107" s="67">
        <f t="shared" si="31"/>
        <v>2393225.2661792496</v>
      </c>
      <c r="R107" s="27">
        <f>(1/(2*LOG(3.7*$I107/'Calculation Constants'!$B$2*1000)))^2</f>
        <v>8.4679866037394684E-3</v>
      </c>
      <c r="S107" s="19">
        <f t="shared" si="45"/>
        <v>0.45268811177167712</v>
      </c>
      <c r="T107" s="19">
        <f>IF($H107&gt;0,'Calculation Constants'!$B$9*Hydraulics!$K107^2/2/9.81/MAX($F$4:$F$253)*$H107,"")</f>
        <v>3.5282785359788842E-2</v>
      </c>
      <c r="U107" s="19">
        <f t="shared" si="46"/>
        <v>0.48797089713146596</v>
      </c>
      <c r="V107" s="19">
        <f t="shared" si="32"/>
        <v>0</v>
      </c>
      <c r="W107" s="19">
        <f t="shared" si="33"/>
        <v>309.4599975954668</v>
      </c>
      <c r="X107" s="23">
        <f t="shared" si="34"/>
        <v>1228.7569975954668</v>
      </c>
      <c r="Y107" s="22">
        <f>(1/(2*LOG(3.7*$I107/'Calculation Constants'!$B$3*1000)))^2</f>
        <v>9.4904462912918219E-3</v>
      </c>
      <c r="Z107" s="19">
        <f t="shared" si="35"/>
        <v>0.50734754464280807</v>
      </c>
      <c r="AA107" s="19">
        <f>IF($H107&gt;0,'Calculation Constants'!$B$9*Hydraulics!$K107^2/2/9.81/MAX($F$4:$F$253)*$H107,"")</f>
        <v>3.5282785359788842E-2</v>
      </c>
      <c r="AB107" s="19">
        <f t="shared" si="54"/>
        <v>0.54263033000259686</v>
      </c>
      <c r="AC107" s="19">
        <f t="shared" si="36"/>
        <v>0</v>
      </c>
      <c r="AD107" s="19">
        <f t="shared" si="47"/>
        <v>303.83007600973565</v>
      </c>
      <c r="AE107" s="23">
        <f t="shared" si="37"/>
        <v>1223.1270760097357</v>
      </c>
      <c r="AF107" s="27">
        <f>(1/(2*LOG(3.7*$I107/'Calculation Constants'!$B$4*1000)))^2</f>
        <v>1.1152845500629007E-2</v>
      </c>
      <c r="AG107" s="19">
        <f t="shared" si="38"/>
        <v>0.59621735446906032</v>
      </c>
      <c r="AH107" s="19">
        <f>IF($H107&gt;0,'Calculation Constants'!$B$9*Hydraulics!$K107^2/2/9.81/MAX($F$4:$F$253)*$H107,"")</f>
        <v>3.5282785359788842E-2</v>
      </c>
      <c r="AI107" s="19">
        <f t="shared" si="48"/>
        <v>0.63150013982884912</v>
      </c>
      <c r="AJ107" s="19">
        <f t="shared" si="39"/>
        <v>0</v>
      </c>
      <c r="AK107" s="19">
        <f t="shared" si="49"/>
        <v>294.67648559762756</v>
      </c>
      <c r="AL107" s="23">
        <f t="shared" si="40"/>
        <v>1213.9734855976276</v>
      </c>
      <c r="AM107" s="22">
        <f>(1/(2*LOG(3.7*($I107-0.008)/'Calculation Constants'!$B$5*1000)))^2</f>
        <v>1.4104604303736145E-2</v>
      </c>
      <c r="AN107" s="19">
        <f t="shared" si="50"/>
        <v>0.75676661531854661</v>
      </c>
      <c r="AO107" s="19">
        <f>IF($H107&gt;0,'Calculation Constants'!$B$9*Hydraulics!$K107^2/2/9.81/MAX($F$4:$F$253)*$H107,"")</f>
        <v>3.5282785359788842E-2</v>
      </c>
      <c r="AP107" s="19">
        <f t="shared" si="51"/>
        <v>0.7920494006783354</v>
      </c>
      <c r="AQ107" s="19">
        <f t="shared" si="41"/>
        <v>0</v>
      </c>
      <c r="AR107" s="19">
        <f t="shared" si="52"/>
        <v>278.13991173014006</v>
      </c>
      <c r="AS107" s="23">
        <f t="shared" si="42"/>
        <v>1197.4369117301401</v>
      </c>
    </row>
    <row r="108" spans="5:45">
      <c r="E108" s="35" t="str">
        <f t="shared" si="28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3"/>
        <v>2</v>
      </c>
      <c r="I108" s="19">
        <v>2.2000000000000002</v>
      </c>
      <c r="J108" s="36">
        <f>'Flow Rate Calculations'!$B$7</f>
        <v>4.0831050228310497</v>
      </c>
      <c r="K108" s="36">
        <f t="shared" si="43"/>
        <v>1.0741261942924094</v>
      </c>
      <c r="L108" s="37">
        <f>$I108*$K108/'Calculation Constants'!$B$7</f>
        <v>2091219.139330355</v>
      </c>
      <c r="M108" s="37" t="str">
        <f t="shared" si="29"/>
        <v>Greater Dynamic Pressures</v>
      </c>
      <c r="N108" s="23">
        <f t="shared" si="44"/>
        <v>310.73602669833542</v>
      </c>
      <c r="O108" s="56">
        <f t="shared" si="30"/>
        <v>305.05144567973309</v>
      </c>
      <c r="P108" s="65">
        <f>MAX(I108*1000/'Calculation Constants'!$B$14,O108*10*I108*1000/2/('Calculation Constants'!$B$12*1000*'Calculation Constants'!$B$13))</f>
        <v>22.370439349847093</v>
      </c>
      <c r="Q108" s="67">
        <f t="shared" si="31"/>
        <v>2402746.9909051051</v>
      </c>
      <c r="R108" s="27">
        <f>(1/(2*LOG(3.7*$I108/'Calculation Constants'!$B$2*1000)))^2</f>
        <v>8.4679866037394684E-3</v>
      </c>
      <c r="S108" s="19">
        <f t="shared" si="45"/>
        <v>0.45268811177167712</v>
      </c>
      <c r="T108" s="19">
        <f>IF($H108&gt;0,'Calculation Constants'!$B$9*Hydraulics!$K108^2/2/9.81/MAX($F$4:$F$253)*$H108,"")</f>
        <v>3.5282785359788842E-2</v>
      </c>
      <c r="U108" s="19">
        <f t="shared" si="46"/>
        <v>0.48797089713146596</v>
      </c>
      <c r="V108" s="19">
        <f t="shared" si="32"/>
        <v>0</v>
      </c>
      <c r="W108" s="19">
        <f t="shared" si="33"/>
        <v>310.73602669833542</v>
      </c>
      <c r="X108" s="23">
        <f t="shared" si="34"/>
        <v>1228.2690266983354</v>
      </c>
      <c r="Y108" s="22">
        <f>(1/(2*LOG(3.7*$I108/'Calculation Constants'!$B$3*1000)))^2</f>
        <v>9.4904462912918219E-3</v>
      </c>
      <c r="Z108" s="19">
        <f t="shared" si="35"/>
        <v>0.50734754464280807</v>
      </c>
      <c r="AA108" s="19">
        <f>IF($H108&gt;0,'Calculation Constants'!$B$9*Hydraulics!$K108^2/2/9.81/MAX($F$4:$F$253)*$H108,"")</f>
        <v>3.5282785359788842E-2</v>
      </c>
      <c r="AB108" s="19">
        <f t="shared" si="54"/>
        <v>0.54263033000259686</v>
      </c>
      <c r="AC108" s="19">
        <f t="shared" si="36"/>
        <v>0</v>
      </c>
      <c r="AD108" s="19">
        <f t="shared" si="47"/>
        <v>305.05144567973309</v>
      </c>
      <c r="AE108" s="23">
        <f t="shared" si="37"/>
        <v>1222.5844456797331</v>
      </c>
      <c r="AF108" s="27">
        <f>(1/(2*LOG(3.7*$I108/'Calculation Constants'!$B$4*1000)))^2</f>
        <v>1.1152845500629007E-2</v>
      </c>
      <c r="AG108" s="19">
        <f t="shared" si="38"/>
        <v>0.59621735446906032</v>
      </c>
      <c r="AH108" s="19">
        <f>IF($H108&gt;0,'Calculation Constants'!$B$9*Hydraulics!$K108^2/2/9.81/MAX($F$4:$F$253)*$H108,"")</f>
        <v>3.5282785359788842E-2</v>
      </c>
      <c r="AI108" s="19">
        <f t="shared" si="48"/>
        <v>0.63150013982884912</v>
      </c>
      <c r="AJ108" s="19">
        <f t="shared" si="39"/>
        <v>0</v>
      </c>
      <c r="AK108" s="19">
        <f t="shared" si="49"/>
        <v>295.80898545779871</v>
      </c>
      <c r="AL108" s="23">
        <f t="shared" si="40"/>
        <v>1213.3419854577987</v>
      </c>
      <c r="AM108" s="22">
        <f>(1/(2*LOG(3.7*($I108-0.008)/'Calculation Constants'!$B$5*1000)))^2</f>
        <v>1.4104604303736145E-2</v>
      </c>
      <c r="AN108" s="19">
        <f t="shared" si="50"/>
        <v>0.75676661531854661</v>
      </c>
      <c r="AO108" s="19">
        <f>IF($H108&gt;0,'Calculation Constants'!$B$9*Hydraulics!$K108^2/2/9.81/MAX($F$4:$F$253)*$H108,"")</f>
        <v>3.5282785359788842E-2</v>
      </c>
      <c r="AP108" s="19">
        <f t="shared" si="51"/>
        <v>0.7920494006783354</v>
      </c>
      <c r="AQ108" s="19">
        <f t="shared" si="41"/>
        <v>0</v>
      </c>
      <c r="AR108" s="19">
        <f t="shared" si="52"/>
        <v>279.11186232946181</v>
      </c>
      <c r="AS108" s="23">
        <f t="shared" si="42"/>
        <v>1196.6448623294618</v>
      </c>
    </row>
    <row r="109" spans="5:45">
      <c r="E109" s="35" t="str">
        <f t="shared" si="28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3"/>
        <v>2</v>
      </c>
      <c r="I109" s="19">
        <v>2.2000000000000002</v>
      </c>
      <c r="J109" s="36">
        <f>'Flow Rate Calculations'!$B$7</f>
        <v>4.0831050228310497</v>
      </c>
      <c r="K109" s="36">
        <f t="shared" si="43"/>
        <v>1.0741261942924094</v>
      </c>
      <c r="L109" s="37">
        <f>$I109*$K109/'Calculation Constants'!$B$7</f>
        <v>2091219.139330355</v>
      </c>
      <c r="M109" s="37" t="str">
        <f t="shared" si="29"/>
        <v>Greater Dynamic Pressures</v>
      </c>
      <c r="N109" s="23">
        <f t="shared" si="44"/>
        <v>310.09705580120408</v>
      </c>
      <c r="O109" s="56">
        <f t="shared" si="30"/>
        <v>304.35781534973057</v>
      </c>
      <c r="P109" s="65">
        <f>MAX(I109*1000/'Calculation Constants'!$B$14,O109*10*I109*1000/2/('Calculation Constants'!$B$12*1000*'Calculation Constants'!$B$13))</f>
        <v>22.319573125646912</v>
      </c>
      <c r="Q109" s="67">
        <f t="shared" si="31"/>
        <v>2397339.5875314237</v>
      </c>
      <c r="R109" s="27">
        <f>(1/(2*LOG(3.7*$I109/'Calculation Constants'!$B$2*1000)))^2</f>
        <v>8.4679866037394684E-3</v>
      </c>
      <c r="S109" s="19">
        <f t="shared" si="45"/>
        <v>0.45268811177167712</v>
      </c>
      <c r="T109" s="19">
        <f>IF($H109&gt;0,'Calculation Constants'!$B$9*Hydraulics!$K109^2/2/9.81/MAX($F$4:$F$253)*$H109,"")</f>
        <v>3.5282785359788842E-2</v>
      </c>
      <c r="U109" s="19">
        <f t="shared" si="46"/>
        <v>0.48797089713146596</v>
      </c>
      <c r="V109" s="19">
        <f t="shared" si="32"/>
        <v>0</v>
      </c>
      <c r="W109" s="19">
        <f t="shared" si="33"/>
        <v>310.09705580120408</v>
      </c>
      <c r="X109" s="23">
        <f t="shared" si="34"/>
        <v>1227.781055801204</v>
      </c>
      <c r="Y109" s="22">
        <f>(1/(2*LOG(3.7*$I109/'Calculation Constants'!$B$3*1000)))^2</f>
        <v>9.4904462912918219E-3</v>
      </c>
      <c r="Z109" s="19">
        <f t="shared" si="35"/>
        <v>0.50734754464280807</v>
      </c>
      <c r="AA109" s="19">
        <f>IF($H109&gt;0,'Calculation Constants'!$B$9*Hydraulics!$K109^2/2/9.81/MAX($F$4:$F$253)*$H109,"")</f>
        <v>3.5282785359788842E-2</v>
      </c>
      <c r="AB109" s="19">
        <f t="shared" si="54"/>
        <v>0.54263033000259686</v>
      </c>
      <c r="AC109" s="19">
        <f t="shared" si="36"/>
        <v>0</v>
      </c>
      <c r="AD109" s="19">
        <f t="shared" si="47"/>
        <v>304.35781534973057</v>
      </c>
      <c r="AE109" s="23">
        <f t="shared" si="37"/>
        <v>1222.0418153497305</v>
      </c>
      <c r="AF109" s="27">
        <f>(1/(2*LOG(3.7*$I109/'Calculation Constants'!$B$4*1000)))^2</f>
        <v>1.1152845500629007E-2</v>
      </c>
      <c r="AG109" s="19">
        <f t="shared" si="38"/>
        <v>0.59621735446906032</v>
      </c>
      <c r="AH109" s="19">
        <f>IF($H109&gt;0,'Calculation Constants'!$B$9*Hydraulics!$K109^2/2/9.81/MAX($F$4:$F$253)*$H109,"")</f>
        <v>3.5282785359788842E-2</v>
      </c>
      <c r="AI109" s="19">
        <f t="shared" si="48"/>
        <v>0.63150013982884912</v>
      </c>
      <c r="AJ109" s="19">
        <f t="shared" si="39"/>
        <v>0</v>
      </c>
      <c r="AK109" s="19">
        <f t="shared" si="49"/>
        <v>295.0264853179699</v>
      </c>
      <c r="AL109" s="23">
        <f t="shared" si="40"/>
        <v>1212.7104853179699</v>
      </c>
      <c r="AM109" s="22">
        <f>(1/(2*LOG(3.7*($I109-0.008)/'Calculation Constants'!$B$5*1000)))^2</f>
        <v>1.4104604303736145E-2</v>
      </c>
      <c r="AN109" s="19">
        <f t="shared" si="50"/>
        <v>0.75676661531854661</v>
      </c>
      <c r="AO109" s="19">
        <f>IF($H109&gt;0,'Calculation Constants'!$B$9*Hydraulics!$K109^2/2/9.81/MAX($F$4:$F$253)*$H109,"")</f>
        <v>3.5282785359788842E-2</v>
      </c>
      <c r="AP109" s="19">
        <f t="shared" si="51"/>
        <v>0.7920494006783354</v>
      </c>
      <c r="AQ109" s="19">
        <f t="shared" si="41"/>
        <v>0</v>
      </c>
      <c r="AR109" s="19">
        <f t="shared" si="52"/>
        <v>278.16881292878361</v>
      </c>
      <c r="AS109" s="23">
        <f t="shared" si="42"/>
        <v>1195.8528129287836</v>
      </c>
    </row>
    <row r="110" spans="5:45">
      <c r="E110" s="35" t="str">
        <f t="shared" si="28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3"/>
        <v>2</v>
      </c>
      <c r="I110" s="19">
        <v>2.2000000000000002</v>
      </c>
      <c r="J110" s="36">
        <f>'Flow Rate Calculations'!$B$7</f>
        <v>4.0831050228310497</v>
      </c>
      <c r="K110" s="36">
        <f t="shared" si="43"/>
        <v>1.0741261942924094</v>
      </c>
      <c r="L110" s="37">
        <f>$I110*$K110/'Calculation Constants'!$B$7</f>
        <v>2091219.139330355</v>
      </c>
      <c r="M110" s="37" t="str">
        <f t="shared" si="29"/>
        <v>Greater Dynamic Pressures</v>
      </c>
      <c r="N110" s="23">
        <f t="shared" si="44"/>
        <v>311.56908490407261</v>
      </c>
      <c r="O110" s="56">
        <f t="shared" si="30"/>
        <v>305.77518501972793</v>
      </c>
      <c r="P110" s="65">
        <f>MAX(I110*1000/'Calculation Constants'!$B$14,O110*10*I110*1000/2/('Calculation Constants'!$B$12*1000*'Calculation Constants'!$B$13))</f>
        <v>22.423513568113382</v>
      </c>
      <c r="Q110" s="67">
        <f t="shared" si="31"/>
        <v>2408388.8460077276</v>
      </c>
      <c r="R110" s="27">
        <f>(1/(2*LOG(3.7*$I110/'Calculation Constants'!$B$2*1000)))^2</f>
        <v>8.4679866037394684E-3</v>
      </c>
      <c r="S110" s="19">
        <f t="shared" si="45"/>
        <v>0.45268811177167712</v>
      </c>
      <c r="T110" s="19">
        <f>IF($H110&gt;0,'Calculation Constants'!$B$9*Hydraulics!$K110^2/2/9.81/MAX($F$4:$F$253)*$H110,"")</f>
        <v>3.5282785359788842E-2</v>
      </c>
      <c r="U110" s="19">
        <f t="shared" si="46"/>
        <v>0.48797089713146596</v>
      </c>
      <c r="V110" s="19">
        <f t="shared" si="32"/>
        <v>0</v>
      </c>
      <c r="W110" s="19">
        <f t="shared" si="33"/>
        <v>311.56908490407261</v>
      </c>
      <c r="X110" s="23">
        <f t="shared" si="34"/>
        <v>1227.2930849040727</v>
      </c>
      <c r="Y110" s="22">
        <f>(1/(2*LOG(3.7*$I110/'Calculation Constants'!$B$3*1000)))^2</f>
        <v>9.4904462912918219E-3</v>
      </c>
      <c r="Z110" s="19">
        <f t="shared" si="35"/>
        <v>0.50734754464280807</v>
      </c>
      <c r="AA110" s="19">
        <f>IF($H110&gt;0,'Calculation Constants'!$B$9*Hydraulics!$K110^2/2/9.81/MAX($F$4:$F$253)*$H110,"")</f>
        <v>3.5282785359788842E-2</v>
      </c>
      <c r="AB110" s="19">
        <f t="shared" si="54"/>
        <v>0.54263033000259686</v>
      </c>
      <c r="AC110" s="19">
        <f t="shared" si="36"/>
        <v>0</v>
      </c>
      <c r="AD110" s="19">
        <f t="shared" si="47"/>
        <v>305.77518501972793</v>
      </c>
      <c r="AE110" s="23">
        <f t="shared" si="37"/>
        <v>1221.499185019728</v>
      </c>
      <c r="AF110" s="27">
        <f>(1/(2*LOG(3.7*$I110/'Calculation Constants'!$B$4*1000)))^2</f>
        <v>1.1152845500629007E-2</v>
      </c>
      <c r="AG110" s="19">
        <f t="shared" si="38"/>
        <v>0.59621735446906032</v>
      </c>
      <c r="AH110" s="19">
        <f>IF($H110&gt;0,'Calculation Constants'!$B$9*Hydraulics!$K110^2/2/9.81/MAX($F$4:$F$253)*$H110,"")</f>
        <v>3.5282785359788842E-2</v>
      </c>
      <c r="AI110" s="19">
        <f t="shared" si="48"/>
        <v>0.63150013982884912</v>
      </c>
      <c r="AJ110" s="19">
        <f t="shared" si="39"/>
        <v>0</v>
      </c>
      <c r="AK110" s="19">
        <f t="shared" si="49"/>
        <v>296.35498517814096</v>
      </c>
      <c r="AL110" s="23">
        <f t="shared" si="40"/>
        <v>1212.078985178141</v>
      </c>
      <c r="AM110" s="22">
        <f>(1/(2*LOG(3.7*($I110-0.008)/'Calculation Constants'!$B$5*1000)))^2</f>
        <v>1.4104604303736145E-2</v>
      </c>
      <c r="AN110" s="19">
        <f t="shared" si="50"/>
        <v>0.75676661531854661</v>
      </c>
      <c r="AO110" s="19">
        <f>IF($H110&gt;0,'Calculation Constants'!$B$9*Hydraulics!$K110^2/2/9.81/MAX($F$4:$F$253)*$H110,"")</f>
        <v>3.5282785359788842E-2</v>
      </c>
      <c r="AP110" s="19">
        <f t="shared" si="51"/>
        <v>0.7920494006783354</v>
      </c>
      <c r="AQ110" s="19">
        <f t="shared" si="41"/>
        <v>0</v>
      </c>
      <c r="AR110" s="19">
        <f t="shared" si="52"/>
        <v>279.33676352810528</v>
      </c>
      <c r="AS110" s="23">
        <f t="shared" si="42"/>
        <v>1195.0607635281053</v>
      </c>
    </row>
    <row r="111" spans="5:45">
      <c r="E111" s="35" t="str">
        <f t="shared" si="28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3"/>
        <v>2</v>
      </c>
      <c r="I111" s="19">
        <v>2.2000000000000002</v>
      </c>
      <c r="J111" s="36">
        <f>'Flow Rate Calculations'!$B$7</f>
        <v>4.0831050228310497</v>
      </c>
      <c r="K111" s="36">
        <f t="shared" si="43"/>
        <v>1.0741261942924094</v>
      </c>
      <c r="L111" s="37">
        <f>$I111*$K111/'Calculation Constants'!$B$7</f>
        <v>2091219.139330355</v>
      </c>
      <c r="M111" s="37" t="str">
        <f t="shared" si="29"/>
        <v>Greater Dynamic Pressures</v>
      </c>
      <c r="N111" s="23">
        <f t="shared" si="44"/>
        <v>311.07511400694125</v>
      </c>
      <c r="O111" s="56">
        <f t="shared" si="30"/>
        <v>305.22655468972539</v>
      </c>
      <c r="P111" s="65">
        <f>MAX(I111*1000/'Calculation Constants'!$B$14,O111*10*I111*1000/2/('Calculation Constants'!$B$12*1000*'Calculation Constants'!$B$13))</f>
        <v>22.383280677246528</v>
      </c>
      <c r="Q111" s="67">
        <f t="shared" si="31"/>
        <v>2404112.0653864476</v>
      </c>
      <c r="R111" s="27">
        <f>(1/(2*LOG(3.7*$I111/'Calculation Constants'!$B$2*1000)))^2</f>
        <v>8.4679866037394684E-3</v>
      </c>
      <c r="S111" s="19">
        <f t="shared" si="45"/>
        <v>0.45268811177167712</v>
      </c>
      <c r="T111" s="19">
        <f>IF($H111&gt;0,'Calculation Constants'!$B$9*Hydraulics!$K111^2/2/9.81/MAX($F$4:$F$253)*$H111,"")</f>
        <v>3.5282785359788842E-2</v>
      </c>
      <c r="U111" s="19">
        <f t="shared" si="46"/>
        <v>0.48797089713146596</v>
      </c>
      <c r="V111" s="19">
        <f t="shared" si="32"/>
        <v>0</v>
      </c>
      <c r="W111" s="19">
        <f t="shared" si="33"/>
        <v>311.07511400694125</v>
      </c>
      <c r="X111" s="23">
        <f t="shared" si="34"/>
        <v>1226.8051140069413</v>
      </c>
      <c r="Y111" s="22">
        <f>(1/(2*LOG(3.7*$I111/'Calculation Constants'!$B$3*1000)))^2</f>
        <v>9.4904462912918219E-3</v>
      </c>
      <c r="Z111" s="19">
        <f t="shared" si="35"/>
        <v>0.50734754464280807</v>
      </c>
      <c r="AA111" s="19">
        <f>IF($H111&gt;0,'Calculation Constants'!$B$9*Hydraulics!$K111^2/2/9.81/MAX($F$4:$F$253)*$H111,"")</f>
        <v>3.5282785359788842E-2</v>
      </c>
      <c r="AB111" s="19">
        <f t="shared" si="54"/>
        <v>0.54263033000259686</v>
      </c>
      <c r="AC111" s="19">
        <f t="shared" si="36"/>
        <v>0</v>
      </c>
      <c r="AD111" s="19">
        <f t="shared" si="47"/>
        <v>305.22655468972539</v>
      </c>
      <c r="AE111" s="23">
        <f t="shared" si="37"/>
        <v>1220.9565546897254</v>
      </c>
      <c r="AF111" s="27">
        <f>(1/(2*LOG(3.7*$I111/'Calculation Constants'!$B$4*1000)))^2</f>
        <v>1.1152845500629007E-2</v>
      </c>
      <c r="AG111" s="19">
        <f t="shared" si="38"/>
        <v>0.59621735446906032</v>
      </c>
      <c r="AH111" s="19">
        <f>IF($H111&gt;0,'Calculation Constants'!$B$9*Hydraulics!$K111^2/2/9.81/MAX($F$4:$F$253)*$H111,"")</f>
        <v>3.5282785359788842E-2</v>
      </c>
      <c r="AI111" s="19">
        <f t="shared" si="48"/>
        <v>0.63150013982884912</v>
      </c>
      <c r="AJ111" s="19">
        <f t="shared" si="39"/>
        <v>0</v>
      </c>
      <c r="AK111" s="19">
        <f t="shared" si="49"/>
        <v>295.71748503831213</v>
      </c>
      <c r="AL111" s="23">
        <f t="shared" si="40"/>
        <v>1211.4474850383122</v>
      </c>
      <c r="AM111" s="22">
        <f>(1/(2*LOG(3.7*($I111-0.008)/'Calculation Constants'!$B$5*1000)))^2</f>
        <v>1.4104604303736145E-2</v>
      </c>
      <c r="AN111" s="19">
        <f t="shared" si="50"/>
        <v>0.75676661531854661</v>
      </c>
      <c r="AO111" s="19">
        <f>IF($H111&gt;0,'Calculation Constants'!$B$9*Hydraulics!$K111^2/2/9.81/MAX($F$4:$F$253)*$H111,"")</f>
        <v>3.5282785359788842E-2</v>
      </c>
      <c r="AP111" s="19">
        <f t="shared" si="51"/>
        <v>0.7920494006783354</v>
      </c>
      <c r="AQ111" s="19">
        <f t="shared" si="41"/>
        <v>0</v>
      </c>
      <c r="AR111" s="19">
        <f t="shared" si="52"/>
        <v>278.53871412742706</v>
      </c>
      <c r="AS111" s="23">
        <f t="shared" si="42"/>
        <v>1194.2687141274271</v>
      </c>
    </row>
    <row r="112" spans="5:45">
      <c r="E112" s="35" t="str">
        <f t="shared" si="28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3"/>
        <v>2</v>
      </c>
      <c r="I112" s="19">
        <v>2.2000000000000002</v>
      </c>
      <c r="J112" s="36">
        <f>'Flow Rate Calculations'!$B$7</f>
        <v>4.0831050228310497</v>
      </c>
      <c r="K112" s="36">
        <f t="shared" si="43"/>
        <v>1.0741261942924094</v>
      </c>
      <c r="L112" s="37">
        <f>$I112*$K112/'Calculation Constants'!$B$7</f>
        <v>2091219.139330355</v>
      </c>
      <c r="M112" s="37" t="str">
        <f t="shared" si="29"/>
        <v>Greater Dynamic Pressures</v>
      </c>
      <c r="N112" s="23">
        <f t="shared" si="44"/>
        <v>310.73314310980993</v>
      </c>
      <c r="O112" s="56">
        <f t="shared" si="30"/>
        <v>304.8299243597229</v>
      </c>
      <c r="P112" s="65">
        <f>MAX(I112*1000/'Calculation Constants'!$B$14,O112*10*I112*1000/2/('Calculation Constants'!$B$12*1000*'Calculation Constants'!$B$13))</f>
        <v>22.354194453046347</v>
      </c>
      <c r="Q112" s="67">
        <f t="shared" si="31"/>
        <v>2401020.082723774</v>
      </c>
      <c r="R112" s="27">
        <f>(1/(2*LOG(3.7*$I112/'Calculation Constants'!$B$2*1000)))^2</f>
        <v>8.4679866037394684E-3</v>
      </c>
      <c r="S112" s="19">
        <f t="shared" si="45"/>
        <v>0.45268811177167712</v>
      </c>
      <c r="T112" s="19">
        <f>IF($H112&gt;0,'Calculation Constants'!$B$9*Hydraulics!$K112^2/2/9.81/MAX($F$4:$F$253)*$H112,"")</f>
        <v>3.5282785359788842E-2</v>
      </c>
      <c r="U112" s="19">
        <f t="shared" si="46"/>
        <v>0.48797089713146596</v>
      </c>
      <c r="V112" s="19">
        <f t="shared" si="32"/>
        <v>0</v>
      </c>
      <c r="W112" s="19">
        <f t="shared" si="33"/>
        <v>310.73314310980993</v>
      </c>
      <c r="X112" s="23">
        <f t="shared" si="34"/>
        <v>1226.3171431098099</v>
      </c>
      <c r="Y112" s="22">
        <f>(1/(2*LOG(3.7*$I112/'Calculation Constants'!$B$3*1000)))^2</f>
        <v>9.4904462912918219E-3</v>
      </c>
      <c r="Z112" s="19">
        <f t="shared" si="35"/>
        <v>0.50734754464280807</v>
      </c>
      <c r="AA112" s="19">
        <f>IF($H112&gt;0,'Calculation Constants'!$B$9*Hydraulics!$K112^2/2/9.81/MAX($F$4:$F$253)*$H112,"")</f>
        <v>3.5282785359788842E-2</v>
      </c>
      <c r="AB112" s="19">
        <f t="shared" si="54"/>
        <v>0.54263033000259686</v>
      </c>
      <c r="AC112" s="19">
        <f t="shared" si="36"/>
        <v>0</v>
      </c>
      <c r="AD112" s="19">
        <f t="shared" si="47"/>
        <v>304.8299243597229</v>
      </c>
      <c r="AE112" s="23">
        <f t="shared" si="37"/>
        <v>1220.4139243597228</v>
      </c>
      <c r="AF112" s="27">
        <f>(1/(2*LOG(3.7*$I112/'Calculation Constants'!$B$4*1000)))^2</f>
        <v>1.1152845500629007E-2</v>
      </c>
      <c r="AG112" s="19">
        <f t="shared" si="38"/>
        <v>0.59621735446906032</v>
      </c>
      <c r="AH112" s="19">
        <f>IF($H112&gt;0,'Calculation Constants'!$B$9*Hydraulics!$K112^2/2/9.81/MAX($F$4:$F$253)*$H112,"")</f>
        <v>3.5282785359788842E-2</v>
      </c>
      <c r="AI112" s="19">
        <f t="shared" si="48"/>
        <v>0.63150013982884912</v>
      </c>
      <c r="AJ112" s="19">
        <f t="shared" si="39"/>
        <v>0</v>
      </c>
      <c r="AK112" s="19">
        <f t="shared" si="49"/>
        <v>295.23198489848335</v>
      </c>
      <c r="AL112" s="23">
        <f t="shared" si="40"/>
        <v>1210.8159848984833</v>
      </c>
      <c r="AM112" s="22">
        <f>(1/(2*LOG(3.7*($I112-0.008)/'Calculation Constants'!$B$5*1000)))^2</f>
        <v>1.4104604303736145E-2</v>
      </c>
      <c r="AN112" s="19">
        <f t="shared" si="50"/>
        <v>0.75676661531854661</v>
      </c>
      <c r="AO112" s="19">
        <f>IF($H112&gt;0,'Calculation Constants'!$B$9*Hydraulics!$K112^2/2/9.81/MAX($F$4:$F$253)*$H112,"")</f>
        <v>3.5282785359788842E-2</v>
      </c>
      <c r="AP112" s="19">
        <f t="shared" si="51"/>
        <v>0.7920494006783354</v>
      </c>
      <c r="AQ112" s="19">
        <f t="shared" si="41"/>
        <v>0</v>
      </c>
      <c r="AR112" s="19">
        <f t="shared" si="52"/>
        <v>277.89266472674888</v>
      </c>
      <c r="AS112" s="23">
        <f t="shared" si="42"/>
        <v>1193.4766647267488</v>
      </c>
    </row>
    <row r="113" spans="5:45">
      <c r="E113" s="35" t="str">
        <f t="shared" si="28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3"/>
        <v>2</v>
      </c>
      <c r="I113" s="19">
        <v>2.2000000000000002</v>
      </c>
      <c r="J113" s="36">
        <f>'Flow Rate Calculations'!$B$7</f>
        <v>4.0831050228310497</v>
      </c>
      <c r="K113" s="36">
        <f t="shared" si="43"/>
        <v>1.0741261942924094</v>
      </c>
      <c r="L113" s="37">
        <f>$I113*$K113/'Calculation Constants'!$B$7</f>
        <v>2091219.139330355</v>
      </c>
      <c r="M113" s="37" t="str">
        <f t="shared" si="29"/>
        <v>Greater Dynamic Pressures</v>
      </c>
      <c r="N113" s="23">
        <f t="shared" si="44"/>
        <v>310.38517221267853</v>
      </c>
      <c r="O113" s="56">
        <f t="shared" si="30"/>
        <v>304.42729402972031</v>
      </c>
      <c r="P113" s="65">
        <f>MAX(I113*1000/'Calculation Constants'!$B$14,O113*10*I113*1000/2/('Calculation Constants'!$B$12*1000*'Calculation Constants'!$B$13))</f>
        <v>22.324668228846157</v>
      </c>
      <c r="Q113" s="67">
        <f t="shared" si="31"/>
        <v>2397881.2409321554</v>
      </c>
      <c r="R113" s="27">
        <f>(1/(2*LOG(3.7*$I113/'Calculation Constants'!$B$2*1000)))^2</f>
        <v>8.4679866037394684E-3</v>
      </c>
      <c r="S113" s="19">
        <f t="shared" si="45"/>
        <v>0.45268811177167712</v>
      </c>
      <c r="T113" s="19">
        <f>IF($H113&gt;0,'Calculation Constants'!$B$9*Hydraulics!$K113^2/2/9.81/MAX($F$4:$F$253)*$H113,"")</f>
        <v>3.5282785359788842E-2</v>
      </c>
      <c r="U113" s="19">
        <f t="shared" si="46"/>
        <v>0.48797089713146596</v>
      </c>
      <c r="V113" s="19">
        <f t="shared" si="32"/>
        <v>0</v>
      </c>
      <c r="W113" s="19">
        <f t="shared" si="33"/>
        <v>310.38517221267853</v>
      </c>
      <c r="X113" s="23">
        <f t="shared" si="34"/>
        <v>1225.8291722126785</v>
      </c>
      <c r="Y113" s="22">
        <f>(1/(2*LOG(3.7*$I113/'Calculation Constants'!$B$3*1000)))^2</f>
        <v>9.4904462912918219E-3</v>
      </c>
      <c r="Z113" s="19">
        <f t="shared" si="35"/>
        <v>0.50734754464280807</v>
      </c>
      <c r="AA113" s="19">
        <f>IF($H113&gt;0,'Calculation Constants'!$B$9*Hydraulics!$K113^2/2/9.81/MAX($F$4:$F$253)*$H113,"")</f>
        <v>3.5282785359788842E-2</v>
      </c>
      <c r="AB113" s="19">
        <f t="shared" si="54"/>
        <v>0.54263033000259686</v>
      </c>
      <c r="AC113" s="19">
        <f t="shared" si="36"/>
        <v>0</v>
      </c>
      <c r="AD113" s="19">
        <f t="shared" si="47"/>
        <v>304.42729402972031</v>
      </c>
      <c r="AE113" s="23">
        <f t="shared" si="37"/>
        <v>1219.8712940297203</v>
      </c>
      <c r="AF113" s="27">
        <f>(1/(2*LOG(3.7*$I113/'Calculation Constants'!$B$4*1000)))^2</f>
        <v>1.1152845500629007E-2</v>
      </c>
      <c r="AG113" s="19">
        <f t="shared" si="38"/>
        <v>0.59621735446906032</v>
      </c>
      <c r="AH113" s="19">
        <f>IF($H113&gt;0,'Calculation Constants'!$B$9*Hydraulics!$K113^2/2/9.81/MAX($F$4:$F$253)*$H113,"")</f>
        <v>3.5282785359788842E-2</v>
      </c>
      <c r="AI113" s="19">
        <f t="shared" si="48"/>
        <v>0.63150013982884912</v>
      </c>
      <c r="AJ113" s="19">
        <f t="shared" si="39"/>
        <v>0</v>
      </c>
      <c r="AK113" s="19">
        <f t="shared" si="49"/>
        <v>294.74048475865447</v>
      </c>
      <c r="AL113" s="23">
        <f t="shared" si="40"/>
        <v>1210.1844847586544</v>
      </c>
      <c r="AM113" s="22">
        <f>(1/(2*LOG(3.7*($I113-0.008)/'Calculation Constants'!$B$5*1000)))^2</f>
        <v>1.4104604303736145E-2</v>
      </c>
      <c r="AN113" s="19">
        <f t="shared" si="50"/>
        <v>0.75676661531854661</v>
      </c>
      <c r="AO113" s="19">
        <f>IF($H113&gt;0,'Calculation Constants'!$B$9*Hydraulics!$K113^2/2/9.81/MAX($F$4:$F$253)*$H113,"")</f>
        <v>3.5282785359788842E-2</v>
      </c>
      <c r="AP113" s="19">
        <f t="shared" si="51"/>
        <v>0.7920494006783354</v>
      </c>
      <c r="AQ113" s="19">
        <f t="shared" si="41"/>
        <v>0</v>
      </c>
      <c r="AR113" s="19">
        <f t="shared" si="52"/>
        <v>277.24061532607061</v>
      </c>
      <c r="AS113" s="23">
        <f t="shared" si="42"/>
        <v>1192.6846153260706</v>
      </c>
    </row>
    <row r="114" spans="5:45">
      <c r="E114" s="35" t="str">
        <f t="shared" si="28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3"/>
        <v>2</v>
      </c>
      <c r="I114" s="19">
        <v>2.2000000000000002</v>
      </c>
      <c r="J114" s="36">
        <f>'Flow Rate Calculations'!$B$7</f>
        <v>4.0831050228310497</v>
      </c>
      <c r="K114" s="36">
        <f t="shared" si="43"/>
        <v>1.0741261942924094</v>
      </c>
      <c r="L114" s="37">
        <f>$I114*$K114/'Calculation Constants'!$B$7</f>
        <v>2091219.139330355</v>
      </c>
      <c r="M114" s="37" t="str">
        <f t="shared" si="29"/>
        <v>Greater Dynamic Pressures</v>
      </c>
      <c r="N114" s="23">
        <f t="shared" si="44"/>
        <v>311.82120131554711</v>
      </c>
      <c r="O114" s="56">
        <f t="shared" si="30"/>
        <v>305.80866369971773</v>
      </c>
      <c r="P114" s="65">
        <f>MAX(I114*1000/'Calculation Constants'!$B$14,O114*10*I114*1000/2/('Calculation Constants'!$B$12*1000*'Calculation Constants'!$B$13))</f>
        <v>22.425968671312635</v>
      </c>
      <c r="Q114" s="67">
        <f t="shared" si="31"/>
        <v>2408649.8197927675</v>
      </c>
      <c r="R114" s="27">
        <f>(1/(2*LOG(3.7*$I114/'Calculation Constants'!$B$2*1000)))^2</f>
        <v>8.4679866037394684E-3</v>
      </c>
      <c r="S114" s="19">
        <f t="shared" si="45"/>
        <v>0.45268811177167712</v>
      </c>
      <c r="T114" s="19">
        <f>IF($H114&gt;0,'Calculation Constants'!$B$9*Hydraulics!$K114^2/2/9.81/MAX($F$4:$F$253)*$H114,"")</f>
        <v>3.5282785359788842E-2</v>
      </c>
      <c r="U114" s="19">
        <f t="shared" si="46"/>
        <v>0.48797089713146596</v>
      </c>
      <c r="V114" s="19">
        <f t="shared" si="32"/>
        <v>0</v>
      </c>
      <c r="W114" s="19">
        <f t="shared" si="33"/>
        <v>311.82120131554711</v>
      </c>
      <c r="X114" s="23">
        <f t="shared" si="34"/>
        <v>1225.3412013155471</v>
      </c>
      <c r="Y114" s="22">
        <f>(1/(2*LOG(3.7*$I114/'Calculation Constants'!$B$3*1000)))^2</f>
        <v>9.4904462912918219E-3</v>
      </c>
      <c r="Z114" s="19">
        <f t="shared" si="35"/>
        <v>0.50734754464280807</v>
      </c>
      <c r="AA114" s="19">
        <f>IF($H114&gt;0,'Calculation Constants'!$B$9*Hydraulics!$K114^2/2/9.81/MAX($F$4:$F$253)*$H114,"")</f>
        <v>3.5282785359788842E-2</v>
      </c>
      <c r="AB114" s="19">
        <f t="shared" si="54"/>
        <v>0.54263033000259686</v>
      </c>
      <c r="AC114" s="19">
        <f t="shared" si="36"/>
        <v>0</v>
      </c>
      <c r="AD114" s="19">
        <f t="shared" si="47"/>
        <v>305.80866369971773</v>
      </c>
      <c r="AE114" s="23">
        <f t="shared" si="37"/>
        <v>1219.3286636997177</v>
      </c>
      <c r="AF114" s="27">
        <f>(1/(2*LOG(3.7*$I114/'Calculation Constants'!$B$4*1000)))^2</f>
        <v>1.1152845500629007E-2</v>
      </c>
      <c r="AG114" s="19">
        <f t="shared" si="38"/>
        <v>0.59621735446906032</v>
      </c>
      <c r="AH114" s="19">
        <f>IF($H114&gt;0,'Calculation Constants'!$B$9*Hydraulics!$K114^2/2/9.81/MAX($F$4:$F$253)*$H114,"")</f>
        <v>3.5282785359788842E-2</v>
      </c>
      <c r="AI114" s="19">
        <f t="shared" si="48"/>
        <v>0.63150013982884912</v>
      </c>
      <c r="AJ114" s="19">
        <f t="shared" si="39"/>
        <v>0</v>
      </c>
      <c r="AK114" s="19">
        <f t="shared" si="49"/>
        <v>296.03298461882559</v>
      </c>
      <c r="AL114" s="23">
        <f t="shared" si="40"/>
        <v>1209.5529846188256</v>
      </c>
      <c r="AM114" s="22">
        <f>(1/(2*LOG(3.7*($I114-0.008)/'Calculation Constants'!$B$5*1000)))^2</f>
        <v>1.4104604303736145E-2</v>
      </c>
      <c r="AN114" s="19">
        <f t="shared" si="50"/>
        <v>0.75676661531854661</v>
      </c>
      <c r="AO114" s="19">
        <f>IF($H114&gt;0,'Calculation Constants'!$B$9*Hydraulics!$K114^2/2/9.81/MAX($F$4:$F$253)*$H114,"")</f>
        <v>3.5282785359788842E-2</v>
      </c>
      <c r="AP114" s="19">
        <f t="shared" si="51"/>
        <v>0.7920494006783354</v>
      </c>
      <c r="AQ114" s="19">
        <f t="shared" si="41"/>
        <v>0</v>
      </c>
      <c r="AR114" s="19">
        <f t="shared" si="52"/>
        <v>278.37256592539234</v>
      </c>
      <c r="AS114" s="23">
        <f t="shared" si="42"/>
        <v>1191.8925659253923</v>
      </c>
    </row>
    <row r="115" spans="5:45">
      <c r="E115" s="35" t="str">
        <f t="shared" si="28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3"/>
        <v>2</v>
      </c>
      <c r="I115" s="19">
        <v>2.2000000000000002</v>
      </c>
      <c r="J115" s="36">
        <f>'Flow Rate Calculations'!$B$7</f>
        <v>4.0831050228310497</v>
      </c>
      <c r="K115" s="36">
        <f t="shared" si="43"/>
        <v>1.0741261942924094</v>
      </c>
      <c r="L115" s="37">
        <f>$I115*$K115/'Calculation Constants'!$B$7</f>
        <v>2091219.139330355</v>
      </c>
      <c r="M115" s="37" t="str">
        <f t="shared" si="29"/>
        <v>Greater Dynamic Pressures</v>
      </c>
      <c r="N115" s="23">
        <f t="shared" si="44"/>
        <v>312.3292304184157</v>
      </c>
      <c r="O115" s="56">
        <f t="shared" si="30"/>
        <v>306.26203336971514</v>
      </c>
      <c r="P115" s="65">
        <f>MAX(I115*1000/'Calculation Constants'!$B$14,O115*10*I115*1000/2/('Calculation Constants'!$B$12*1000*'Calculation Constants'!$B$13))</f>
        <v>22.459215780445778</v>
      </c>
      <c r="Q115" s="67">
        <f t="shared" si="31"/>
        <v>2412183.8790446492</v>
      </c>
      <c r="R115" s="27">
        <f>(1/(2*LOG(3.7*$I115/'Calculation Constants'!$B$2*1000)))^2</f>
        <v>8.4679866037394684E-3</v>
      </c>
      <c r="S115" s="19">
        <f t="shared" si="45"/>
        <v>0.45268811177167712</v>
      </c>
      <c r="T115" s="19">
        <f>IF($H115&gt;0,'Calculation Constants'!$B$9*Hydraulics!$K115^2/2/9.81/MAX($F$4:$F$253)*$H115,"")</f>
        <v>3.5282785359788842E-2</v>
      </c>
      <c r="U115" s="19">
        <f t="shared" si="46"/>
        <v>0.48797089713146596</v>
      </c>
      <c r="V115" s="19">
        <f t="shared" si="32"/>
        <v>0</v>
      </c>
      <c r="W115" s="19">
        <f t="shared" si="33"/>
        <v>312.3292304184157</v>
      </c>
      <c r="X115" s="23">
        <f t="shared" si="34"/>
        <v>1224.8532304184157</v>
      </c>
      <c r="Y115" s="22">
        <f>(1/(2*LOG(3.7*$I115/'Calculation Constants'!$B$3*1000)))^2</f>
        <v>9.4904462912918219E-3</v>
      </c>
      <c r="Z115" s="19">
        <f t="shared" si="35"/>
        <v>0.50734754464280807</v>
      </c>
      <c r="AA115" s="19">
        <f>IF($H115&gt;0,'Calculation Constants'!$B$9*Hydraulics!$K115^2/2/9.81/MAX($F$4:$F$253)*$H115,"")</f>
        <v>3.5282785359788842E-2</v>
      </c>
      <c r="AB115" s="19">
        <f t="shared" si="54"/>
        <v>0.54263033000259686</v>
      </c>
      <c r="AC115" s="19">
        <f t="shared" si="36"/>
        <v>0</v>
      </c>
      <c r="AD115" s="19">
        <f t="shared" si="47"/>
        <v>306.26203336971514</v>
      </c>
      <c r="AE115" s="23">
        <f t="shared" si="37"/>
        <v>1218.7860333697151</v>
      </c>
      <c r="AF115" s="27">
        <f>(1/(2*LOG(3.7*$I115/'Calculation Constants'!$B$4*1000)))^2</f>
        <v>1.1152845500629007E-2</v>
      </c>
      <c r="AG115" s="19">
        <f t="shared" si="38"/>
        <v>0.59621735446906032</v>
      </c>
      <c r="AH115" s="19">
        <f>IF($H115&gt;0,'Calculation Constants'!$B$9*Hydraulics!$K115^2/2/9.81/MAX($F$4:$F$253)*$H115,"")</f>
        <v>3.5282785359788842E-2</v>
      </c>
      <c r="AI115" s="19">
        <f t="shared" si="48"/>
        <v>0.63150013982884912</v>
      </c>
      <c r="AJ115" s="19">
        <f t="shared" si="39"/>
        <v>0</v>
      </c>
      <c r="AK115" s="19">
        <f t="shared" si="49"/>
        <v>296.39748447899672</v>
      </c>
      <c r="AL115" s="23">
        <f t="shared" si="40"/>
        <v>1208.9214844789967</v>
      </c>
      <c r="AM115" s="22">
        <f>(1/(2*LOG(3.7*($I115-0.008)/'Calculation Constants'!$B$5*1000)))^2</f>
        <v>1.4104604303736145E-2</v>
      </c>
      <c r="AN115" s="19">
        <f t="shared" si="50"/>
        <v>0.75676661531854661</v>
      </c>
      <c r="AO115" s="19">
        <f>IF($H115&gt;0,'Calculation Constants'!$B$9*Hydraulics!$K115^2/2/9.81/MAX($F$4:$F$253)*$H115,"")</f>
        <v>3.5282785359788842E-2</v>
      </c>
      <c r="AP115" s="19">
        <f t="shared" si="51"/>
        <v>0.7920494006783354</v>
      </c>
      <c r="AQ115" s="19">
        <f t="shared" si="41"/>
        <v>0</v>
      </c>
      <c r="AR115" s="19">
        <f t="shared" si="52"/>
        <v>278.57651652471407</v>
      </c>
      <c r="AS115" s="23">
        <f t="shared" si="42"/>
        <v>1191.1005165247141</v>
      </c>
    </row>
    <row r="116" spans="5:45">
      <c r="E116" s="35" t="str">
        <f t="shared" si="28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3"/>
        <v>2</v>
      </c>
      <c r="I116" s="19">
        <v>2.2000000000000002</v>
      </c>
      <c r="J116" s="36">
        <f>'Flow Rate Calculations'!$B$7</f>
        <v>4.0831050228310497</v>
      </c>
      <c r="K116" s="36">
        <f t="shared" si="43"/>
        <v>1.0741261942924094</v>
      </c>
      <c r="L116" s="37">
        <f>$I116*$K116/'Calculation Constants'!$B$7</f>
        <v>2091219.139330355</v>
      </c>
      <c r="M116" s="37" t="str">
        <f t="shared" si="29"/>
        <v>Greater Dynamic Pressures</v>
      </c>
      <c r="N116" s="23">
        <f t="shared" si="44"/>
        <v>311.80025952128426</v>
      </c>
      <c r="O116" s="56">
        <f t="shared" si="30"/>
        <v>305.67840303971252</v>
      </c>
      <c r="P116" s="65">
        <f>MAX(I116*1000/'Calculation Constants'!$B$14,O116*10*I116*1000/2/('Calculation Constants'!$B$12*1000*'Calculation Constants'!$B$13))</f>
        <v>22.416416222912254</v>
      </c>
      <c r="Q116" s="67">
        <f t="shared" si="31"/>
        <v>2407634.4055217737</v>
      </c>
      <c r="R116" s="27">
        <f>(1/(2*LOG(3.7*$I116/'Calculation Constants'!$B$2*1000)))^2</f>
        <v>8.4679866037394684E-3</v>
      </c>
      <c r="S116" s="19">
        <f t="shared" si="45"/>
        <v>0.45268811177167712</v>
      </c>
      <c r="T116" s="19">
        <f>IF($H116&gt;0,'Calculation Constants'!$B$9*Hydraulics!$K116^2/2/9.81/MAX($F$4:$F$253)*$H116,"")</f>
        <v>3.5282785359788842E-2</v>
      </c>
      <c r="U116" s="19">
        <f t="shared" si="46"/>
        <v>0.48797089713146596</v>
      </c>
      <c r="V116" s="19">
        <f t="shared" si="32"/>
        <v>0</v>
      </c>
      <c r="W116" s="19">
        <f t="shared" si="33"/>
        <v>311.80025952128426</v>
      </c>
      <c r="X116" s="23">
        <f t="shared" si="34"/>
        <v>1224.3652595212843</v>
      </c>
      <c r="Y116" s="22">
        <f>(1/(2*LOG(3.7*$I116/'Calculation Constants'!$B$3*1000)))^2</f>
        <v>9.4904462912918219E-3</v>
      </c>
      <c r="Z116" s="19">
        <f t="shared" si="35"/>
        <v>0.50734754464280807</v>
      </c>
      <c r="AA116" s="19">
        <f>IF($H116&gt;0,'Calculation Constants'!$B$9*Hydraulics!$K116^2/2/9.81/MAX($F$4:$F$253)*$H116,"")</f>
        <v>3.5282785359788842E-2</v>
      </c>
      <c r="AB116" s="19">
        <f t="shared" si="54"/>
        <v>0.54263033000259686</v>
      </c>
      <c r="AC116" s="19">
        <f t="shared" si="36"/>
        <v>0</v>
      </c>
      <c r="AD116" s="19">
        <f t="shared" si="47"/>
        <v>305.67840303971252</v>
      </c>
      <c r="AE116" s="23">
        <f t="shared" si="37"/>
        <v>1218.2434030397126</v>
      </c>
      <c r="AF116" s="27">
        <f>(1/(2*LOG(3.7*$I116/'Calculation Constants'!$B$4*1000)))^2</f>
        <v>1.1152845500629007E-2</v>
      </c>
      <c r="AG116" s="19">
        <f t="shared" si="38"/>
        <v>0.59621735446906032</v>
      </c>
      <c r="AH116" s="19">
        <f>IF($H116&gt;0,'Calculation Constants'!$B$9*Hydraulics!$K116^2/2/9.81/MAX($F$4:$F$253)*$H116,"")</f>
        <v>3.5282785359788842E-2</v>
      </c>
      <c r="AI116" s="19">
        <f t="shared" si="48"/>
        <v>0.63150013982884912</v>
      </c>
      <c r="AJ116" s="19">
        <f t="shared" si="39"/>
        <v>0</v>
      </c>
      <c r="AK116" s="19">
        <f t="shared" si="49"/>
        <v>295.7249843391678</v>
      </c>
      <c r="AL116" s="23">
        <f t="shared" si="40"/>
        <v>1208.2899843391679</v>
      </c>
      <c r="AM116" s="22">
        <f>(1/(2*LOG(3.7*($I116-0.008)/'Calculation Constants'!$B$5*1000)))^2</f>
        <v>1.4104604303736145E-2</v>
      </c>
      <c r="AN116" s="19">
        <f t="shared" si="50"/>
        <v>0.75676661531854661</v>
      </c>
      <c r="AO116" s="19">
        <f>IF($H116&gt;0,'Calculation Constants'!$B$9*Hydraulics!$K116^2/2/9.81/MAX($F$4:$F$253)*$H116,"")</f>
        <v>3.5282785359788842E-2</v>
      </c>
      <c r="AP116" s="19">
        <f t="shared" si="51"/>
        <v>0.7920494006783354</v>
      </c>
      <c r="AQ116" s="19">
        <f t="shared" si="41"/>
        <v>0</v>
      </c>
      <c r="AR116" s="19">
        <f t="shared" si="52"/>
        <v>277.74346712403576</v>
      </c>
      <c r="AS116" s="23">
        <f t="shared" si="42"/>
        <v>1190.3084671240358</v>
      </c>
    </row>
    <row r="117" spans="5:45">
      <c r="E117" s="35" t="str">
        <f t="shared" si="28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3"/>
        <v>2</v>
      </c>
      <c r="I117" s="19">
        <v>2.2000000000000002</v>
      </c>
      <c r="J117" s="36">
        <f>'Flow Rate Calculations'!$B$7</f>
        <v>4.0831050228310497</v>
      </c>
      <c r="K117" s="36">
        <f t="shared" si="43"/>
        <v>1.0741261942924094</v>
      </c>
      <c r="L117" s="37">
        <f>$I117*$K117/'Calculation Constants'!$B$7</f>
        <v>2091219.139330355</v>
      </c>
      <c r="M117" s="37" t="str">
        <f t="shared" si="29"/>
        <v>Greater Dynamic Pressures</v>
      </c>
      <c r="N117" s="23">
        <f t="shared" si="44"/>
        <v>310.39328862415289</v>
      </c>
      <c r="O117" s="56">
        <f t="shared" si="30"/>
        <v>304.21677270970997</v>
      </c>
      <c r="P117" s="65">
        <f>MAX(I117*1000/'Calculation Constants'!$B$14,O117*10*I117*1000/2/('Calculation Constants'!$B$12*1000*'Calculation Constants'!$B$13))</f>
        <v>22.309229998712066</v>
      </c>
      <c r="Q117" s="67">
        <f t="shared" si="31"/>
        <v>2396240.016082563</v>
      </c>
      <c r="R117" s="27">
        <f>(1/(2*LOG(3.7*$I117/'Calculation Constants'!$B$2*1000)))^2</f>
        <v>8.4679866037394684E-3</v>
      </c>
      <c r="S117" s="19">
        <f t="shared" si="45"/>
        <v>0.45268811177167712</v>
      </c>
      <c r="T117" s="19">
        <f>IF($H117&gt;0,'Calculation Constants'!$B$9*Hydraulics!$K117^2/2/9.81/MAX($F$4:$F$253)*$H117,"")</f>
        <v>3.5282785359788842E-2</v>
      </c>
      <c r="U117" s="19">
        <f t="shared" si="46"/>
        <v>0.48797089713146596</v>
      </c>
      <c r="V117" s="19">
        <f t="shared" si="32"/>
        <v>0</v>
      </c>
      <c r="W117" s="19">
        <f t="shared" si="33"/>
        <v>310.39328862415289</v>
      </c>
      <c r="X117" s="23">
        <f t="shared" si="34"/>
        <v>1223.8772886241529</v>
      </c>
      <c r="Y117" s="22">
        <f>(1/(2*LOG(3.7*$I117/'Calculation Constants'!$B$3*1000)))^2</f>
        <v>9.4904462912918219E-3</v>
      </c>
      <c r="Z117" s="19">
        <f t="shared" si="35"/>
        <v>0.50734754464280807</v>
      </c>
      <c r="AA117" s="19">
        <f>IF($H117&gt;0,'Calculation Constants'!$B$9*Hydraulics!$K117^2/2/9.81/MAX($F$4:$F$253)*$H117,"")</f>
        <v>3.5282785359788842E-2</v>
      </c>
      <c r="AB117" s="19">
        <f t="shared" si="54"/>
        <v>0.54263033000259686</v>
      </c>
      <c r="AC117" s="19">
        <f t="shared" si="36"/>
        <v>0</v>
      </c>
      <c r="AD117" s="19">
        <f t="shared" si="47"/>
        <v>304.21677270970997</v>
      </c>
      <c r="AE117" s="23">
        <f t="shared" si="37"/>
        <v>1217.70077270971</v>
      </c>
      <c r="AF117" s="27">
        <f>(1/(2*LOG(3.7*$I117/'Calculation Constants'!$B$4*1000)))^2</f>
        <v>1.1152845500629007E-2</v>
      </c>
      <c r="AG117" s="19">
        <f t="shared" si="38"/>
        <v>0.59621735446906032</v>
      </c>
      <c r="AH117" s="19">
        <f>IF($H117&gt;0,'Calculation Constants'!$B$9*Hydraulics!$K117^2/2/9.81/MAX($F$4:$F$253)*$H117,"")</f>
        <v>3.5282785359788842E-2</v>
      </c>
      <c r="AI117" s="19">
        <f t="shared" si="48"/>
        <v>0.63150013982884912</v>
      </c>
      <c r="AJ117" s="19">
        <f t="shared" si="39"/>
        <v>0</v>
      </c>
      <c r="AK117" s="19">
        <f t="shared" si="49"/>
        <v>294.17448419933896</v>
      </c>
      <c r="AL117" s="23">
        <f t="shared" si="40"/>
        <v>1207.658484199339</v>
      </c>
      <c r="AM117" s="22">
        <f>(1/(2*LOG(3.7*($I117-0.008)/'Calculation Constants'!$B$5*1000)))^2</f>
        <v>1.4104604303736145E-2</v>
      </c>
      <c r="AN117" s="19">
        <f t="shared" si="50"/>
        <v>0.75676661531854661</v>
      </c>
      <c r="AO117" s="19">
        <f>IF($H117&gt;0,'Calculation Constants'!$B$9*Hydraulics!$K117^2/2/9.81/MAX($F$4:$F$253)*$H117,"")</f>
        <v>3.5282785359788842E-2</v>
      </c>
      <c r="AP117" s="19">
        <f t="shared" si="51"/>
        <v>0.7920494006783354</v>
      </c>
      <c r="AQ117" s="19">
        <f t="shared" si="41"/>
        <v>0</v>
      </c>
      <c r="AR117" s="19">
        <f t="shared" si="52"/>
        <v>276.03241772335753</v>
      </c>
      <c r="AS117" s="23">
        <f t="shared" si="42"/>
        <v>1189.5164177233576</v>
      </c>
    </row>
    <row r="118" spans="5:45">
      <c r="E118" s="35" t="str">
        <f t="shared" si="28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3"/>
        <v>2</v>
      </c>
      <c r="I118" s="19">
        <v>2.2000000000000002</v>
      </c>
      <c r="J118" s="36">
        <f>'Flow Rate Calculations'!$B$7</f>
        <v>4.0831050228310497</v>
      </c>
      <c r="K118" s="36">
        <f t="shared" si="43"/>
        <v>1.0741261942924094</v>
      </c>
      <c r="L118" s="37">
        <f>$I118*$K118/'Calculation Constants'!$B$7</f>
        <v>2091219.139330355</v>
      </c>
      <c r="M118" s="37" t="str">
        <f t="shared" si="29"/>
        <v>Greater Dynamic Pressures</v>
      </c>
      <c r="N118" s="23">
        <f t="shared" si="44"/>
        <v>309.84431772702158</v>
      </c>
      <c r="O118" s="56">
        <f t="shared" si="30"/>
        <v>303.61314237970748</v>
      </c>
      <c r="P118" s="65">
        <f>MAX(I118*1000/'Calculation Constants'!$B$14,O118*10*I118*1000/2/('Calculation Constants'!$B$12*1000*'Calculation Constants'!$B$13))</f>
        <v>22.264963774511884</v>
      </c>
      <c r="Q118" s="67">
        <f t="shared" si="31"/>
        <v>2391533.981843018</v>
      </c>
      <c r="R118" s="27">
        <f>(1/(2*LOG(3.7*$I118/'Calculation Constants'!$B$2*1000)))^2</f>
        <v>8.4679866037394684E-3</v>
      </c>
      <c r="S118" s="19">
        <f t="shared" si="45"/>
        <v>0.45268811177167712</v>
      </c>
      <c r="T118" s="19">
        <f>IF($H118&gt;0,'Calculation Constants'!$B$9*Hydraulics!$K118^2/2/9.81/MAX($F$4:$F$253)*$H118,"")</f>
        <v>3.5282785359788842E-2</v>
      </c>
      <c r="U118" s="19">
        <f t="shared" si="46"/>
        <v>0.48797089713146596</v>
      </c>
      <c r="V118" s="19">
        <f t="shared" si="32"/>
        <v>0</v>
      </c>
      <c r="W118" s="19">
        <f t="shared" si="33"/>
        <v>309.84431772702158</v>
      </c>
      <c r="X118" s="23">
        <f t="shared" si="34"/>
        <v>1223.3893177270215</v>
      </c>
      <c r="Y118" s="22">
        <f>(1/(2*LOG(3.7*$I118/'Calculation Constants'!$B$3*1000)))^2</f>
        <v>9.4904462912918219E-3</v>
      </c>
      <c r="Z118" s="19">
        <f t="shared" si="35"/>
        <v>0.50734754464280807</v>
      </c>
      <c r="AA118" s="19">
        <f>IF($H118&gt;0,'Calculation Constants'!$B$9*Hydraulics!$K118^2/2/9.81/MAX($F$4:$F$253)*$H118,"")</f>
        <v>3.5282785359788842E-2</v>
      </c>
      <c r="AB118" s="19">
        <f t="shared" si="54"/>
        <v>0.54263033000259686</v>
      </c>
      <c r="AC118" s="19">
        <f t="shared" si="36"/>
        <v>0</v>
      </c>
      <c r="AD118" s="19">
        <f t="shared" si="47"/>
        <v>303.61314237970748</v>
      </c>
      <c r="AE118" s="23">
        <f t="shared" si="37"/>
        <v>1217.1581423797074</v>
      </c>
      <c r="AF118" s="27">
        <f>(1/(2*LOG(3.7*$I118/'Calculation Constants'!$B$4*1000)))^2</f>
        <v>1.1152845500629007E-2</v>
      </c>
      <c r="AG118" s="19">
        <f t="shared" si="38"/>
        <v>0.59621735446906032</v>
      </c>
      <c r="AH118" s="19">
        <f>IF($H118&gt;0,'Calculation Constants'!$B$9*Hydraulics!$K118^2/2/9.81/MAX($F$4:$F$253)*$H118,"")</f>
        <v>3.5282785359788842E-2</v>
      </c>
      <c r="AI118" s="19">
        <f t="shared" si="48"/>
        <v>0.63150013982884912</v>
      </c>
      <c r="AJ118" s="19">
        <f t="shared" si="39"/>
        <v>0</v>
      </c>
      <c r="AK118" s="19">
        <f t="shared" si="49"/>
        <v>293.48198405951018</v>
      </c>
      <c r="AL118" s="23">
        <f t="shared" si="40"/>
        <v>1207.0269840595101</v>
      </c>
      <c r="AM118" s="22">
        <f>(1/(2*LOG(3.7*($I118-0.008)/'Calculation Constants'!$B$5*1000)))^2</f>
        <v>1.4104604303736145E-2</v>
      </c>
      <c r="AN118" s="19">
        <f t="shared" si="50"/>
        <v>0.75676661531854661</v>
      </c>
      <c r="AO118" s="19">
        <f>IF($H118&gt;0,'Calculation Constants'!$B$9*Hydraulics!$K118^2/2/9.81/MAX($F$4:$F$253)*$H118,"")</f>
        <v>3.5282785359788842E-2</v>
      </c>
      <c r="AP118" s="19">
        <f t="shared" si="51"/>
        <v>0.7920494006783354</v>
      </c>
      <c r="AQ118" s="19">
        <f t="shared" si="41"/>
        <v>0</v>
      </c>
      <c r="AR118" s="19">
        <f t="shared" si="52"/>
        <v>275.17936832267935</v>
      </c>
      <c r="AS118" s="23">
        <f t="shared" si="42"/>
        <v>1188.7243683226793</v>
      </c>
    </row>
    <row r="119" spans="5:45">
      <c r="E119" s="35" t="str">
        <f t="shared" si="28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3"/>
        <v>2</v>
      </c>
      <c r="I119" s="19">
        <v>2.2000000000000002</v>
      </c>
      <c r="J119" s="36">
        <f>'Flow Rate Calculations'!$B$7</f>
        <v>4.0831050228310497</v>
      </c>
      <c r="K119" s="36">
        <f t="shared" si="43"/>
        <v>1.0741261942924094</v>
      </c>
      <c r="L119" s="37">
        <f>$I119*$K119/'Calculation Constants'!$B$7</f>
        <v>2091219.139330355</v>
      </c>
      <c r="M119" s="37" t="str">
        <f t="shared" si="29"/>
        <v>Greater Dynamic Pressures</v>
      </c>
      <c r="N119" s="23">
        <f t="shared" si="44"/>
        <v>308.3553468298901</v>
      </c>
      <c r="O119" s="56">
        <f t="shared" si="30"/>
        <v>302.06951204970483</v>
      </c>
      <c r="P119" s="65">
        <f>MAX(I119*1000/'Calculation Constants'!$B$14,O119*10*I119*1000/2/('Calculation Constants'!$B$12*1000*'Calculation Constants'!$B$13))</f>
        <v>22.151764216978357</v>
      </c>
      <c r="Q119" s="67">
        <f t="shared" si="31"/>
        <v>2379498.6225708653</v>
      </c>
      <c r="R119" s="27">
        <f>(1/(2*LOG(3.7*$I119/'Calculation Constants'!$B$2*1000)))^2</f>
        <v>8.4679866037394684E-3</v>
      </c>
      <c r="S119" s="19">
        <f t="shared" si="45"/>
        <v>0.45268811177167712</v>
      </c>
      <c r="T119" s="19">
        <f>IF($H119&gt;0,'Calculation Constants'!$B$9*Hydraulics!$K119^2/2/9.81/MAX($F$4:$F$253)*$H119,"")</f>
        <v>3.5282785359788842E-2</v>
      </c>
      <c r="U119" s="19">
        <f t="shared" si="46"/>
        <v>0.48797089713146596</v>
      </c>
      <c r="V119" s="19">
        <f t="shared" si="32"/>
        <v>0</v>
      </c>
      <c r="W119" s="19">
        <f t="shared" si="33"/>
        <v>308.3553468298901</v>
      </c>
      <c r="X119" s="23">
        <f t="shared" si="34"/>
        <v>1222.9013468298901</v>
      </c>
      <c r="Y119" s="22">
        <f>(1/(2*LOG(3.7*$I119/'Calculation Constants'!$B$3*1000)))^2</f>
        <v>9.4904462912918219E-3</v>
      </c>
      <c r="Z119" s="19">
        <f t="shared" si="35"/>
        <v>0.50734754464280807</v>
      </c>
      <c r="AA119" s="19">
        <f>IF($H119&gt;0,'Calculation Constants'!$B$9*Hydraulics!$K119^2/2/9.81/MAX($F$4:$F$253)*$H119,"")</f>
        <v>3.5282785359788842E-2</v>
      </c>
      <c r="AB119" s="19">
        <f t="shared" si="54"/>
        <v>0.54263033000259686</v>
      </c>
      <c r="AC119" s="19">
        <f t="shared" si="36"/>
        <v>0</v>
      </c>
      <c r="AD119" s="19">
        <f t="shared" si="47"/>
        <v>302.06951204970483</v>
      </c>
      <c r="AE119" s="23">
        <f t="shared" si="37"/>
        <v>1216.6155120497049</v>
      </c>
      <c r="AF119" s="27">
        <f>(1/(2*LOG(3.7*$I119/'Calculation Constants'!$B$4*1000)))^2</f>
        <v>1.1152845500629007E-2</v>
      </c>
      <c r="AG119" s="19">
        <f t="shared" si="38"/>
        <v>0.59621735446906032</v>
      </c>
      <c r="AH119" s="19">
        <f>IF($H119&gt;0,'Calculation Constants'!$B$9*Hydraulics!$K119^2/2/9.81/MAX($F$4:$F$253)*$H119,"")</f>
        <v>3.5282785359788842E-2</v>
      </c>
      <c r="AI119" s="19">
        <f t="shared" si="48"/>
        <v>0.63150013982884912</v>
      </c>
      <c r="AJ119" s="19">
        <f t="shared" si="39"/>
        <v>0</v>
      </c>
      <c r="AK119" s="19">
        <f t="shared" si="49"/>
        <v>291.84948391968123</v>
      </c>
      <c r="AL119" s="23">
        <f t="shared" si="40"/>
        <v>1206.3954839196813</v>
      </c>
      <c r="AM119" s="22">
        <f>(1/(2*LOG(3.7*($I119-0.008)/'Calculation Constants'!$B$5*1000)))^2</f>
        <v>1.4104604303736145E-2</v>
      </c>
      <c r="AN119" s="19">
        <f t="shared" si="50"/>
        <v>0.75676661531854661</v>
      </c>
      <c r="AO119" s="19">
        <f>IF($H119&gt;0,'Calculation Constants'!$B$9*Hydraulics!$K119^2/2/9.81/MAX($F$4:$F$253)*$H119,"")</f>
        <v>3.5282785359788842E-2</v>
      </c>
      <c r="AP119" s="19">
        <f t="shared" si="51"/>
        <v>0.7920494006783354</v>
      </c>
      <c r="AQ119" s="19">
        <f t="shared" si="41"/>
        <v>0</v>
      </c>
      <c r="AR119" s="19">
        <f t="shared" si="52"/>
        <v>273.38631892200101</v>
      </c>
      <c r="AS119" s="23">
        <f t="shared" si="42"/>
        <v>1187.9323189220011</v>
      </c>
    </row>
    <row r="120" spans="5:45">
      <c r="E120" s="35" t="str">
        <f t="shared" si="28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3"/>
        <v>2</v>
      </c>
      <c r="I120" s="19">
        <v>2.2000000000000002</v>
      </c>
      <c r="J120" s="36">
        <f>'Flow Rate Calculations'!$B$7</f>
        <v>4.0831050228310497</v>
      </c>
      <c r="K120" s="36">
        <f t="shared" si="43"/>
        <v>1.0741261942924094</v>
      </c>
      <c r="L120" s="37">
        <f>$I120*$K120/'Calculation Constants'!$B$7</f>
        <v>2091219.139330355</v>
      </c>
      <c r="M120" s="37" t="str">
        <f t="shared" si="29"/>
        <v>Greater Dynamic Pressures</v>
      </c>
      <c r="N120" s="23">
        <f t="shared" si="44"/>
        <v>304.12837593275879</v>
      </c>
      <c r="O120" s="56">
        <f t="shared" si="30"/>
        <v>297.78788171970234</v>
      </c>
      <c r="P120" s="65">
        <f>MAX(I120*1000/'Calculation Constants'!$B$14,O120*10*I120*1000/2/('Calculation Constants'!$B$12*1000*'Calculation Constants'!$B$13))</f>
        <v>21.837777992778175</v>
      </c>
      <c r="Q120" s="67">
        <f t="shared" si="31"/>
        <v>2346109.0405501048</v>
      </c>
      <c r="R120" s="27">
        <f>(1/(2*LOG(3.7*$I120/'Calculation Constants'!$B$2*1000)))^2</f>
        <v>8.4679866037394684E-3</v>
      </c>
      <c r="S120" s="19">
        <f t="shared" si="45"/>
        <v>0.45268811177167712</v>
      </c>
      <c r="T120" s="19">
        <f>IF($H120&gt;0,'Calculation Constants'!$B$9*Hydraulics!$K120^2/2/9.81/MAX($F$4:$F$253)*$H120,"")</f>
        <v>3.5282785359788842E-2</v>
      </c>
      <c r="U120" s="19">
        <f t="shared" si="46"/>
        <v>0.48797089713146596</v>
      </c>
      <c r="V120" s="19">
        <f t="shared" si="32"/>
        <v>0</v>
      </c>
      <c r="W120" s="19">
        <f t="shared" si="33"/>
        <v>304.12837593275879</v>
      </c>
      <c r="X120" s="23">
        <f t="shared" si="34"/>
        <v>1222.4133759327588</v>
      </c>
      <c r="Y120" s="22">
        <f>(1/(2*LOG(3.7*$I120/'Calculation Constants'!$B$3*1000)))^2</f>
        <v>9.4904462912918219E-3</v>
      </c>
      <c r="Z120" s="19">
        <f t="shared" si="35"/>
        <v>0.50734754464280807</v>
      </c>
      <c r="AA120" s="19">
        <f>IF($H120&gt;0,'Calculation Constants'!$B$9*Hydraulics!$K120^2/2/9.81/MAX($F$4:$F$253)*$H120,"")</f>
        <v>3.5282785359788842E-2</v>
      </c>
      <c r="AB120" s="19">
        <f t="shared" si="54"/>
        <v>0.54263033000259686</v>
      </c>
      <c r="AC120" s="19">
        <f t="shared" si="36"/>
        <v>0</v>
      </c>
      <c r="AD120" s="19">
        <f t="shared" si="47"/>
        <v>297.78788171970234</v>
      </c>
      <c r="AE120" s="23">
        <f t="shared" si="37"/>
        <v>1216.0728817197023</v>
      </c>
      <c r="AF120" s="27">
        <f>(1/(2*LOG(3.7*$I120/'Calculation Constants'!$B$4*1000)))^2</f>
        <v>1.1152845500629007E-2</v>
      </c>
      <c r="AG120" s="19">
        <f t="shared" si="38"/>
        <v>0.59621735446906032</v>
      </c>
      <c r="AH120" s="19">
        <f>IF($H120&gt;0,'Calculation Constants'!$B$9*Hydraulics!$K120^2/2/9.81/MAX($F$4:$F$253)*$H120,"")</f>
        <v>3.5282785359788842E-2</v>
      </c>
      <c r="AI120" s="19">
        <f t="shared" si="48"/>
        <v>0.63150013982884912</v>
      </c>
      <c r="AJ120" s="19">
        <f t="shared" si="39"/>
        <v>0</v>
      </c>
      <c r="AK120" s="19">
        <f t="shared" si="49"/>
        <v>287.47898377985246</v>
      </c>
      <c r="AL120" s="23">
        <f t="shared" si="40"/>
        <v>1205.7639837798524</v>
      </c>
      <c r="AM120" s="22">
        <f>(1/(2*LOG(3.7*($I120-0.008)/'Calculation Constants'!$B$5*1000)))^2</f>
        <v>1.4104604303736145E-2</v>
      </c>
      <c r="AN120" s="19">
        <f t="shared" si="50"/>
        <v>0.75676661531854661</v>
      </c>
      <c r="AO120" s="19">
        <f>IF($H120&gt;0,'Calculation Constants'!$B$9*Hydraulics!$K120^2/2/9.81/MAX($F$4:$F$253)*$H120,"")</f>
        <v>3.5282785359788842E-2</v>
      </c>
      <c r="AP120" s="19">
        <f t="shared" si="51"/>
        <v>0.7920494006783354</v>
      </c>
      <c r="AQ120" s="19">
        <f t="shared" si="41"/>
        <v>0</v>
      </c>
      <c r="AR120" s="19">
        <f t="shared" si="52"/>
        <v>268.85526952132284</v>
      </c>
      <c r="AS120" s="23">
        <f t="shared" si="42"/>
        <v>1187.1402695213228</v>
      </c>
    </row>
    <row r="121" spans="5:45">
      <c r="E121" s="35" t="str">
        <f t="shared" si="28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3"/>
        <v>2</v>
      </c>
      <c r="I121" s="19">
        <v>2.2000000000000002</v>
      </c>
      <c r="J121" s="36">
        <f>'Flow Rate Calculations'!$B$7</f>
        <v>4.0831050228310497</v>
      </c>
      <c r="K121" s="36">
        <f t="shared" si="43"/>
        <v>1.0741261942924094</v>
      </c>
      <c r="L121" s="37">
        <f>$I121*$K121/'Calculation Constants'!$B$7</f>
        <v>2091219.139330355</v>
      </c>
      <c r="M121" s="37" t="str">
        <f t="shared" si="29"/>
        <v>Greater Dynamic Pressures</v>
      </c>
      <c r="N121" s="23">
        <f t="shared" si="44"/>
        <v>302.56840503562739</v>
      </c>
      <c r="O121" s="56">
        <f t="shared" si="30"/>
        <v>296.17325138969977</v>
      </c>
      <c r="P121" s="65">
        <f>MAX(I121*1000/'Calculation Constants'!$B$14,O121*10*I121*1000/2/('Calculation Constants'!$B$12*1000*'Calculation Constants'!$B$13))</f>
        <v>21.719371768577982</v>
      </c>
      <c r="Q121" s="67">
        <f t="shared" si="31"/>
        <v>2333515.0892249183</v>
      </c>
      <c r="R121" s="27">
        <f>(1/(2*LOG(3.7*$I121/'Calculation Constants'!$B$2*1000)))^2</f>
        <v>8.4679866037394684E-3</v>
      </c>
      <c r="S121" s="19">
        <f t="shared" si="45"/>
        <v>0.45268811177167712</v>
      </c>
      <c r="T121" s="19">
        <f>IF($H121&gt;0,'Calculation Constants'!$B$9*Hydraulics!$K121^2/2/9.81/MAX($F$4:$F$253)*$H121,"")</f>
        <v>3.5282785359788842E-2</v>
      </c>
      <c r="U121" s="19">
        <f t="shared" si="46"/>
        <v>0.48797089713146596</v>
      </c>
      <c r="V121" s="19">
        <f t="shared" si="32"/>
        <v>0</v>
      </c>
      <c r="W121" s="19">
        <f t="shared" si="33"/>
        <v>302.56840503562739</v>
      </c>
      <c r="X121" s="23">
        <f t="shared" si="34"/>
        <v>1221.9254050356274</v>
      </c>
      <c r="Y121" s="22">
        <f>(1/(2*LOG(3.7*$I121/'Calculation Constants'!$B$3*1000)))^2</f>
        <v>9.4904462912918219E-3</v>
      </c>
      <c r="Z121" s="19">
        <f t="shared" si="35"/>
        <v>0.50734754464280807</v>
      </c>
      <c r="AA121" s="19">
        <f>IF($H121&gt;0,'Calculation Constants'!$B$9*Hydraulics!$K121^2/2/9.81/MAX($F$4:$F$253)*$H121,"")</f>
        <v>3.5282785359788842E-2</v>
      </c>
      <c r="AB121" s="19">
        <f t="shared" si="54"/>
        <v>0.54263033000259686</v>
      </c>
      <c r="AC121" s="19">
        <f t="shared" si="36"/>
        <v>0</v>
      </c>
      <c r="AD121" s="19">
        <f t="shared" si="47"/>
        <v>296.17325138969977</v>
      </c>
      <c r="AE121" s="23">
        <f t="shared" si="37"/>
        <v>1215.5302513896997</v>
      </c>
      <c r="AF121" s="27">
        <f>(1/(2*LOG(3.7*$I121/'Calculation Constants'!$B$4*1000)))^2</f>
        <v>1.1152845500629007E-2</v>
      </c>
      <c r="AG121" s="19">
        <f t="shared" si="38"/>
        <v>0.59621735446906032</v>
      </c>
      <c r="AH121" s="19">
        <f>IF($H121&gt;0,'Calculation Constants'!$B$9*Hydraulics!$K121^2/2/9.81/MAX($F$4:$F$253)*$H121,"")</f>
        <v>3.5282785359788842E-2</v>
      </c>
      <c r="AI121" s="19">
        <f t="shared" si="48"/>
        <v>0.63150013982884912</v>
      </c>
      <c r="AJ121" s="19">
        <f t="shared" si="39"/>
        <v>0</v>
      </c>
      <c r="AK121" s="19">
        <f t="shared" si="49"/>
        <v>285.77548364002359</v>
      </c>
      <c r="AL121" s="23">
        <f t="shared" si="40"/>
        <v>1205.1324836400236</v>
      </c>
      <c r="AM121" s="22">
        <f>(1/(2*LOG(3.7*($I121-0.008)/'Calculation Constants'!$B$5*1000)))^2</f>
        <v>1.4104604303736145E-2</v>
      </c>
      <c r="AN121" s="19">
        <f t="shared" si="50"/>
        <v>0.75676661531854661</v>
      </c>
      <c r="AO121" s="19">
        <f>IF($H121&gt;0,'Calculation Constants'!$B$9*Hydraulics!$K121^2/2/9.81/MAX($F$4:$F$253)*$H121,"")</f>
        <v>3.5282785359788842E-2</v>
      </c>
      <c r="AP121" s="19">
        <f t="shared" si="51"/>
        <v>0.7920494006783354</v>
      </c>
      <c r="AQ121" s="19">
        <f t="shared" si="41"/>
        <v>0</v>
      </c>
      <c r="AR121" s="19">
        <f t="shared" si="52"/>
        <v>266.99122012064458</v>
      </c>
      <c r="AS121" s="23">
        <f t="shared" si="42"/>
        <v>1186.3482201206446</v>
      </c>
    </row>
    <row r="122" spans="5:45">
      <c r="E122" s="35" t="str">
        <f t="shared" si="28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3"/>
        <v>2</v>
      </c>
      <c r="I122" s="19">
        <v>2.2000000000000002</v>
      </c>
      <c r="J122" s="36">
        <f>'Flow Rate Calculations'!$B$7</f>
        <v>4.0831050228310497</v>
      </c>
      <c r="K122" s="36">
        <f t="shared" si="43"/>
        <v>1.0741261942924094</v>
      </c>
      <c r="L122" s="37">
        <f>$I122*$K122/'Calculation Constants'!$B$7</f>
        <v>2091219.139330355</v>
      </c>
      <c r="M122" s="37" t="str">
        <f t="shared" si="29"/>
        <v>Greater Dynamic Pressures</v>
      </c>
      <c r="N122" s="23">
        <f t="shared" si="44"/>
        <v>302.78843413849597</v>
      </c>
      <c r="O122" s="56">
        <f t="shared" si="30"/>
        <v>296.33862105969718</v>
      </c>
      <c r="P122" s="65">
        <f>MAX(I122*1000/'Calculation Constants'!$B$14,O122*10*I122*1000/2/('Calculation Constants'!$B$12*1000*'Calculation Constants'!$B$13))</f>
        <v>21.731498877711129</v>
      </c>
      <c r="Q122" s="67">
        <f t="shared" si="31"/>
        <v>2334805.01929656</v>
      </c>
      <c r="R122" s="27">
        <f>(1/(2*LOG(3.7*$I122/'Calculation Constants'!$B$2*1000)))^2</f>
        <v>8.4679866037394684E-3</v>
      </c>
      <c r="S122" s="19">
        <f t="shared" si="45"/>
        <v>0.45268811177167712</v>
      </c>
      <c r="T122" s="19">
        <f>IF($H122&gt;0,'Calculation Constants'!$B$9*Hydraulics!$K122^2/2/9.81/MAX($F$4:$F$253)*$H122,"")</f>
        <v>3.5282785359788842E-2</v>
      </c>
      <c r="U122" s="19">
        <f t="shared" si="46"/>
        <v>0.48797089713146596</v>
      </c>
      <c r="V122" s="19">
        <f t="shared" si="32"/>
        <v>0</v>
      </c>
      <c r="W122" s="19">
        <f t="shared" si="33"/>
        <v>302.78843413849597</v>
      </c>
      <c r="X122" s="23">
        <f t="shared" si="34"/>
        <v>1221.437434138496</v>
      </c>
      <c r="Y122" s="22">
        <f>(1/(2*LOG(3.7*$I122/'Calculation Constants'!$B$3*1000)))^2</f>
        <v>9.4904462912918219E-3</v>
      </c>
      <c r="Z122" s="19">
        <f t="shared" si="35"/>
        <v>0.50734754464280807</v>
      </c>
      <c r="AA122" s="19">
        <f>IF($H122&gt;0,'Calculation Constants'!$B$9*Hydraulics!$K122^2/2/9.81/MAX($F$4:$F$253)*$H122,"")</f>
        <v>3.5282785359788842E-2</v>
      </c>
      <c r="AB122" s="19">
        <f t="shared" si="54"/>
        <v>0.54263033000259686</v>
      </c>
      <c r="AC122" s="19">
        <f t="shared" si="36"/>
        <v>0</v>
      </c>
      <c r="AD122" s="19">
        <f t="shared" si="47"/>
        <v>296.33862105969718</v>
      </c>
      <c r="AE122" s="23">
        <f t="shared" si="37"/>
        <v>1214.9876210596972</v>
      </c>
      <c r="AF122" s="27">
        <f>(1/(2*LOG(3.7*$I122/'Calculation Constants'!$B$4*1000)))^2</f>
        <v>1.1152845500629007E-2</v>
      </c>
      <c r="AG122" s="19">
        <f t="shared" si="38"/>
        <v>0.59621735446906032</v>
      </c>
      <c r="AH122" s="19">
        <f>IF($H122&gt;0,'Calculation Constants'!$B$9*Hydraulics!$K122^2/2/9.81/MAX($F$4:$F$253)*$H122,"")</f>
        <v>3.5282785359788842E-2</v>
      </c>
      <c r="AI122" s="19">
        <f t="shared" si="48"/>
        <v>0.63150013982884912</v>
      </c>
      <c r="AJ122" s="19">
        <f t="shared" si="39"/>
        <v>0</v>
      </c>
      <c r="AK122" s="19">
        <f t="shared" si="49"/>
        <v>285.85198350019471</v>
      </c>
      <c r="AL122" s="23">
        <f t="shared" si="40"/>
        <v>1204.5009835001947</v>
      </c>
      <c r="AM122" s="22">
        <f>(1/(2*LOG(3.7*($I122-0.008)/'Calculation Constants'!$B$5*1000)))^2</f>
        <v>1.4104604303736145E-2</v>
      </c>
      <c r="AN122" s="19">
        <f t="shared" si="50"/>
        <v>0.75676661531854661</v>
      </c>
      <c r="AO122" s="19">
        <f>IF($H122&gt;0,'Calculation Constants'!$B$9*Hydraulics!$K122^2/2/9.81/MAX($F$4:$F$253)*$H122,"")</f>
        <v>3.5282785359788842E-2</v>
      </c>
      <c r="AP122" s="19">
        <f t="shared" si="51"/>
        <v>0.7920494006783354</v>
      </c>
      <c r="AQ122" s="19">
        <f t="shared" si="41"/>
        <v>0</v>
      </c>
      <c r="AR122" s="19">
        <f t="shared" si="52"/>
        <v>266.9071707199663</v>
      </c>
      <c r="AS122" s="23">
        <f t="shared" si="42"/>
        <v>1185.5561707199663</v>
      </c>
    </row>
    <row r="123" spans="5:45">
      <c r="E123" s="35" t="str">
        <f t="shared" si="28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3"/>
        <v>2</v>
      </c>
      <c r="I123" s="19">
        <v>2.2000000000000002</v>
      </c>
      <c r="J123" s="36">
        <f>'Flow Rate Calculations'!$B$7</f>
        <v>4.0831050228310497</v>
      </c>
      <c r="K123" s="36">
        <f t="shared" si="43"/>
        <v>1.0741261942924094</v>
      </c>
      <c r="L123" s="37">
        <f>$I123*$K123/'Calculation Constants'!$B$7</f>
        <v>2091219.139330355</v>
      </c>
      <c r="M123" s="37" t="str">
        <f t="shared" si="29"/>
        <v>Greater Dynamic Pressures</v>
      </c>
      <c r="N123" s="23">
        <f t="shared" si="44"/>
        <v>297.97546324136454</v>
      </c>
      <c r="O123" s="56">
        <f t="shared" si="30"/>
        <v>291.47099072969456</v>
      </c>
      <c r="P123" s="65">
        <f>MAX(I123*1000/'Calculation Constants'!$B$14,O123*10*I123*1000/2/('Calculation Constants'!$B$12*1000*'Calculation Constants'!$B$13))</f>
        <v>21.374539320177604</v>
      </c>
      <c r="Q123" s="67">
        <f t="shared" si="31"/>
        <v>2296830.0584850442</v>
      </c>
      <c r="R123" s="27">
        <f>(1/(2*LOG(3.7*$I123/'Calculation Constants'!$B$2*1000)))^2</f>
        <v>8.4679866037394684E-3</v>
      </c>
      <c r="S123" s="19">
        <f t="shared" si="45"/>
        <v>0.45268811177167712</v>
      </c>
      <c r="T123" s="19">
        <f>IF($H123&gt;0,'Calculation Constants'!$B$9*Hydraulics!$K123^2/2/9.81/MAX($F$4:$F$253)*$H123,"")</f>
        <v>3.5282785359788842E-2</v>
      </c>
      <c r="U123" s="19">
        <f t="shared" si="46"/>
        <v>0.48797089713146596</v>
      </c>
      <c r="V123" s="19">
        <f t="shared" si="32"/>
        <v>0</v>
      </c>
      <c r="W123" s="19">
        <f t="shared" si="33"/>
        <v>297.97546324136454</v>
      </c>
      <c r="X123" s="23">
        <f t="shared" si="34"/>
        <v>1220.9494632413646</v>
      </c>
      <c r="Y123" s="22">
        <f>(1/(2*LOG(3.7*$I123/'Calculation Constants'!$B$3*1000)))^2</f>
        <v>9.4904462912918219E-3</v>
      </c>
      <c r="Z123" s="19">
        <f t="shared" si="35"/>
        <v>0.50734754464280807</v>
      </c>
      <c r="AA123" s="19">
        <f>IF($H123&gt;0,'Calculation Constants'!$B$9*Hydraulics!$K123^2/2/9.81/MAX($F$4:$F$253)*$H123,"")</f>
        <v>3.5282785359788842E-2</v>
      </c>
      <c r="AB123" s="19">
        <f t="shared" si="54"/>
        <v>0.54263033000259686</v>
      </c>
      <c r="AC123" s="19">
        <f t="shared" si="36"/>
        <v>0</v>
      </c>
      <c r="AD123" s="19">
        <f t="shared" si="47"/>
        <v>291.47099072969456</v>
      </c>
      <c r="AE123" s="23">
        <f t="shared" si="37"/>
        <v>1214.4449907296946</v>
      </c>
      <c r="AF123" s="27">
        <f>(1/(2*LOG(3.7*$I123/'Calculation Constants'!$B$4*1000)))^2</f>
        <v>1.1152845500629007E-2</v>
      </c>
      <c r="AG123" s="19">
        <f t="shared" si="38"/>
        <v>0.59621735446906032</v>
      </c>
      <c r="AH123" s="19">
        <f>IF($H123&gt;0,'Calculation Constants'!$B$9*Hydraulics!$K123^2/2/9.81/MAX($F$4:$F$253)*$H123,"")</f>
        <v>3.5282785359788842E-2</v>
      </c>
      <c r="AI123" s="19">
        <f t="shared" si="48"/>
        <v>0.63150013982884912</v>
      </c>
      <c r="AJ123" s="19">
        <f t="shared" si="39"/>
        <v>0</v>
      </c>
      <c r="AK123" s="19">
        <f t="shared" si="49"/>
        <v>280.8954833603658</v>
      </c>
      <c r="AL123" s="23">
        <f t="shared" si="40"/>
        <v>1203.8694833603658</v>
      </c>
      <c r="AM123" s="22">
        <f>(1/(2*LOG(3.7*($I123-0.008)/'Calculation Constants'!$B$5*1000)))^2</f>
        <v>1.4104604303736145E-2</v>
      </c>
      <c r="AN123" s="19">
        <f t="shared" si="50"/>
        <v>0.75676661531854661</v>
      </c>
      <c r="AO123" s="19">
        <f>IF($H123&gt;0,'Calculation Constants'!$B$9*Hydraulics!$K123^2/2/9.81/MAX($F$4:$F$253)*$H123,"")</f>
        <v>3.5282785359788842E-2</v>
      </c>
      <c r="AP123" s="19">
        <f t="shared" si="51"/>
        <v>0.7920494006783354</v>
      </c>
      <c r="AQ123" s="19">
        <f t="shared" si="41"/>
        <v>0</v>
      </c>
      <c r="AR123" s="19">
        <f t="shared" si="52"/>
        <v>261.790121319288</v>
      </c>
      <c r="AS123" s="23">
        <f t="shared" si="42"/>
        <v>1184.7641213192881</v>
      </c>
    </row>
    <row r="124" spans="5:45">
      <c r="E124" s="35" t="str">
        <f t="shared" si="28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3"/>
        <v>2</v>
      </c>
      <c r="I124" s="19">
        <v>2.2000000000000002</v>
      </c>
      <c r="J124" s="36">
        <f>'Flow Rate Calculations'!$B$7</f>
        <v>4.0831050228310497</v>
      </c>
      <c r="K124" s="36">
        <f t="shared" si="43"/>
        <v>1.0741261942924094</v>
      </c>
      <c r="L124" s="37">
        <f>$I124*$K124/'Calculation Constants'!$B$7</f>
        <v>2091219.139330355</v>
      </c>
      <c r="M124" s="37" t="str">
        <f t="shared" si="29"/>
        <v>Greater Dynamic Pressures</v>
      </c>
      <c r="N124" s="23">
        <f t="shared" si="44"/>
        <v>293.08649234423319</v>
      </c>
      <c r="O124" s="56">
        <f t="shared" si="30"/>
        <v>286.52736039969204</v>
      </c>
      <c r="P124" s="65">
        <f>MAX(I124*1000/'Calculation Constants'!$B$14,O124*10*I124*1000/2/('Calculation Constants'!$B$12*1000*'Calculation Constants'!$B$13))</f>
        <v>21.012006429310752</v>
      </c>
      <c r="Q124" s="67">
        <f t="shared" si="31"/>
        <v>2258249.3160474282</v>
      </c>
      <c r="R124" s="27">
        <f>(1/(2*LOG(3.7*$I124/'Calculation Constants'!$B$2*1000)))^2</f>
        <v>8.4679866037394684E-3</v>
      </c>
      <c r="S124" s="19">
        <f t="shared" si="45"/>
        <v>0.45268811177167712</v>
      </c>
      <c r="T124" s="19">
        <f>IF($H124&gt;0,'Calculation Constants'!$B$9*Hydraulics!$K124^2/2/9.81/MAX($F$4:$F$253)*$H124,"")</f>
        <v>3.5282785359788842E-2</v>
      </c>
      <c r="U124" s="19">
        <f t="shared" si="46"/>
        <v>0.48797089713146596</v>
      </c>
      <c r="V124" s="19">
        <f t="shared" si="32"/>
        <v>0</v>
      </c>
      <c r="W124" s="19">
        <f t="shared" si="33"/>
        <v>293.08649234423319</v>
      </c>
      <c r="X124" s="23">
        <f t="shared" si="34"/>
        <v>1220.4614923442332</v>
      </c>
      <c r="Y124" s="22">
        <f>(1/(2*LOG(3.7*$I124/'Calculation Constants'!$B$3*1000)))^2</f>
        <v>9.4904462912918219E-3</v>
      </c>
      <c r="Z124" s="19">
        <f t="shared" si="35"/>
        <v>0.50734754464280807</v>
      </c>
      <c r="AA124" s="19">
        <f>IF($H124&gt;0,'Calculation Constants'!$B$9*Hydraulics!$K124^2/2/9.81/MAX($F$4:$F$253)*$H124,"")</f>
        <v>3.5282785359788842E-2</v>
      </c>
      <c r="AB124" s="19">
        <f t="shared" si="54"/>
        <v>0.54263033000259686</v>
      </c>
      <c r="AC124" s="19">
        <f t="shared" si="36"/>
        <v>0</v>
      </c>
      <c r="AD124" s="19">
        <f t="shared" si="47"/>
        <v>286.52736039969204</v>
      </c>
      <c r="AE124" s="23">
        <f t="shared" si="37"/>
        <v>1213.902360399692</v>
      </c>
      <c r="AF124" s="27">
        <f>(1/(2*LOG(3.7*$I124/'Calculation Constants'!$B$4*1000)))^2</f>
        <v>1.1152845500629007E-2</v>
      </c>
      <c r="AG124" s="19">
        <f t="shared" si="38"/>
        <v>0.59621735446906032</v>
      </c>
      <c r="AH124" s="19">
        <f>IF($H124&gt;0,'Calculation Constants'!$B$9*Hydraulics!$K124^2/2/9.81/MAX($F$4:$F$253)*$H124,"")</f>
        <v>3.5282785359788842E-2</v>
      </c>
      <c r="AI124" s="19">
        <f t="shared" si="48"/>
        <v>0.63150013982884912</v>
      </c>
      <c r="AJ124" s="19">
        <f t="shared" si="39"/>
        <v>0</v>
      </c>
      <c r="AK124" s="19">
        <f t="shared" si="49"/>
        <v>275.86298322053699</v>
      </c>
      <c r="AL124" s="23">
        <f t="shared" si="40"/>
        <v>1203.237983220537</v>
      </c>
      <c r="AM124" s="22">
        <f>(1/(2*LOG(3.7*($I124-0.008)/'Calculation Constants'!$B$5*1000)))^2</f>
        <v>1.4104604303736145E-2</v>
      </c>
      <c r="AN124" s="19">
        <f t="shared" si="50"/>
        <v>0.75676661531854661</v>
      </c>
      <c r="AO124" s="19">
        <f>IF($H124&gt;0,'Calculation Constants'!$B$9*Hydraulics!$K124^2/2/9.81/MAX($F$4:$F$253)*$H124,"")</f>
        <v>3.5282785359788842E-2</v>
      </c>
      <c r="AP124" s="19">
        <f t="shared" si="51"/>
        <v>0.7920494006783354</v>
      </c>
      <c r="AQ124" s="19">
        <f t="shared" si="41"/>
        <v>0</v>
      </c>
      <c r="AR124" s="19">
        <f t="shared" si="52"/>
        <v>256.5970719186098</v>
      </c>
      <c r="AS124" s="23">
        <f t="shared" si="42"/>
        <v>1183.9720719186098</v>
      </c>
    </row>
    <row r="125" spans="5:45">
      <c r="E125" s="35" t="str">
        <f t="shared" si="28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3"/>
        <v>2</v>
      </c>
      <c r="I125" s="19">
        <v>2.2000000000000002</v>
      </c>
      <c r="J125" s="36">
        <f>'Flow Rate Calculations'!$B$7</f>
        <v>4.0831050228310497</v>
      </c>
      <c r="K125" s="36">
        <f t="shared" si="43"/>
        <v>1.0741261942924094</v>
      </c>
      <c r="L125" s="37">
        <f>$I125*$K125/'Calculation Constants'!$B$7</f>
        <v>2091219.139330355</v>
      </c>
      <c r="M125" s="37" t="str">
        <f t="shared" si="29"/>
        <v>Greater Dynamic Pressures</v>
      </c>
      <c r="N125" s="23">
        <f t="shared" si="44"/>
        <v>290.72052144710176</v>
      </c>
      <c r="O125" s="56">
        <f t="shared" si="30"/>
        <v>284.10673006968943</v>
      </c>
      <c r="P125" s="65">
        <f>MAX(I125*1000/'Calculation Constants'!$B$14,O125*10*I125*1000/2/('Calculation Constants'!$B$12*1000*'Calculation Constants'!$B$13))</f>
        <v>20.834493538443894</v>
      </c>
      <c r="Q125" s="67">
        <f t="shared" si="31"/>
        <v>2239353.6696705879</v>
      </c>
      <c r="R125" s="27">
        <f>(1/(2*LOG(3.7*$I125/'Calculation Constants'!$B$2*1000)))^2</f>
        <v>8.4679866037394684E-3</v>
      </c>
      <c r="S125" s="19">
        <f t="shared" si="45"/>
        <v>0.45268811177167712</v>
      </c>
      <c r="T125" s="19">
        <f>IF($H125&gt;0,'Calculation Constants'!$B$9*Hydraulics!$K125^2/2/9.81/MAX($F$4:$F$253)*$H125,"")</f>
        <v>3.5282785359788842E-2</v>
      </c>
      <c r="U125" s="19">
        <f t="shared" si="46"/>
        <v>0.48797089713146596</v>
      </c>
      <c r="V125" s="19">
        <f t="shared" si="32"/>
        <v>0</v>
      </c>
      <c r="W125" s="19">
        <f t="shared" si="33"/>
        <v>290.72052144710176</v>
      </c>
      <c r="X125" s="23">
        <f t="shared" si="34"/>
        <v>1219.9735214471018</v>
      </c>
      <c r="Y125" s="22">
        <f>(1/(2*LOG(3.7*$I125/'Calculation Constants'!$B$3*1000)))^2</f>
        <v>9.4904462912918219E-3</v>
      </c>
      <c r="Z125" s="19">
        <f t="shared" si="35"/>
        <v>0.50734754464280807</v>
      </c>
      <c r="AA125" s="19">
        <f>IF($H125&gt;0,'Calculation Constants'!$B$9*Hydraulics!$K125^2/2/9.81/MAX($F$4:$F$253)*$H125,"")</f>
        <v>3.5282785359788842E-2</v>
      </c>
      <c r="AB125" s="19">
        <f t="shared" si="54"/>
        <v>0.54263033000259686</v>
      </c>
      <c r="AC125" s="19">
        <f t="shared" si="36"/>
        <v>0</v>
      </c>
      <c r="AD125" s="19">
        <f t="shared" si="47"/>
        <v>284.10673006968943</v>
      </c>
      <c r="AE125" s="23">
        <f t="shared" si="37"/>
        <v>1213.3597300696895</v>
      </c>
      <c r="AF125" s="27">
        <f>(1/(2*LOG(3.7*$I125/'Calculation Constants'!$B$4*1000)))^2</f>
        <v>1.1152845500629007E-2</v>
      </c>
      <c r="AG125" s="19">
        <f t="shared" si="38"/>
        <v>0.59621735446906032</v>
      </c>
      <c r="AH125" s="19">
        <f>IF($H125&gt;0,'Calculation Constants'!$B$9*Hydraulics!$K125^2/2/9.81/MAX($F$4:$F$253)*$H125,"")</f>
        <v>3.5282785359788842E-2</v>
      </c>
      <c r="AI125" s="19">
        <f t="shared" si="48"/>
        <v>0.63150013982884912</v>
      </c>
      <c r="AJ125" s="19">
        <f t="shared" si="39"/>
        <v>0</v>
      </c>
      <c r="AK125" s="19">
        <f t="shared" si="49"/>
        <v>273.35348308070809</v>
      </c>
      <c r="AL125" s="23">
        <f t="shared" si="40"/>
        <v>1202.6064830807081</v>
      </c>
      <c r="AM125" s="22">
        <f>(1/(2*LOG(3.7*($I125-0.008)/'Calculation Constants'!$B$5*1000)))^2</f>
        <v>1.4104604303736145E-2</v>
      </c>
      <c r="AN125" s="19">
        <f t="shared" si="50"/>
        <v>0.75676661531854661</v>
      </c>
      <c r="AO125" s="19">
        <f>IF($H125&gt;0,'Calculation Constants'!$B$9*Hydraulics!$K125^2/2/9.81/MAX($F$4:$F$253)*$H125,"")</f>
        <v>3.5282785359788842E-2</v>
      </c>
      <c r="AP125" s="19">
        <f t="shared" si="51"/>
        <v>0.7920494006783354</v>
      </c>
      <c r="AQ125" s="19">
        <f t="shared" si="41"/>
        <v>0</v>
      </c>
      <c r="AR125" s="19">
        <f t="shared" si="52"/>
        <v>253.9270225179315</v>
      </c>
      <c r="AS125" s="23">
        <f t="shared" si="42"/>
        <v>1183.1800225179315</v>
      </c>
    </row>
    <row r="126" spans="5:45">
      <c r="E126" s="35" t="str">
        <f t="shared" si="28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3"/>
        <v>2</v>
      </c>
      <c r="I126" s="19">
        <v>2.2000000000000002</v>
      </c>
      <c r="J126" s="36">
        <f>'Flow Rate Calculations'!$B$7</f>
        <v>4.0831050228310497</v>
      </c>
      <c r="K126" s="36">
        <f t="shared" si="43"/>
        <v>1.0741261942924094</v>
      </c>
      <c r="L126" s="37">
        <f>$I126*$K126/'Calculation Constants'!$B$7</f>
        <v>2091219.139330355</v>
      </c>
      <c r="M126" s="37" t="str">
        <f t="shared" si="29"/>
        <v>Greater Dynamic Pressures</v>
      </c>
      <c r="N126" s="23">
        <f t="shared" si="44"/>
        <v>288.62255054997036</v>
      </c>
      <c r="O126" s="56">
        <f t="shared" si="30"/>
        <v>281.95409973968685</v>
      </c>
      <c r="P126" s="65">
        <f>MAX(I126*1000/'Calculation Constants'!$B$14,O126*10*I126*1000/2/('Calculation Constants'!$B$12*1000*'Calculation Constants'!$B$13))</f>
        <v>20.676633980910371</v>
      </c>
      <c r="Q126" s="67">
        <f t="shared" si="31"/>
        <v>2222547.4428573255</v>
      </c>
      <c r="R126" s="27">
        <f>(1/(2*LOG(3.7*$I126/'Calculation Constants'!$B$2*1000)))^2</f>
        <v>8.4679866037394684E-3</v>
      </c>
      <c r="S126" s="19">
        <f t="shared" si="45"/>
        <v>0.45268811177167712</v>
      </c>
      <c r="T126" s="19">
        <f>IF($H126&gt;0,'Calculation Constants'!$B$9*Hydraulics!$K126^2/2/9.81/MAX($F$4:$F$253)*$H126,"")</f>
        <v>3.5282785359788842E-2</v>
      </c>
      <c r="U126" s="19">
        <f t="shared" si="46"/>
        <v>0.48797089713146596</v>
      </c>
      <c r="V126" s="19">
        <f t="shared" si="32"/>
        <v>0</v>
      </c>
      <c r="W126" s="19">
        <f t="shared" si="33"/>
        <v>288.62255054997036</v>
      </c>
      <c r="X126" s="23">
        <f t="shared" si="34"/>
        <v>1219.4855505499704</v>
      </c>
      <c r="Y126" s="22">
        <f>(1/(2*LOG(3.7*$I126/'Calculation Constants'!$B$3*1000)))^2</f>
        <v>9.4904462912918219E-3</v>
      </c>
      <c r="Z126" s="19">
        <f t="shared" si="35"/>
        <v>0.50734754464280807</v>
      </c>
      <c r="AA126" s="19">
        <f>IF($H126&gt;0,'Calculation Constants'!$B$9*Hydraulics!$K126^2/2/9.81/MAX($F$4:$F$253)*$H126,"")</f>
        <v>3.5282785359788842E-2</v>
      </c>
      <c r="AB126" s="19">
        <f t="shared" si="54"/>
        <v>0.54263033000259686</v>
      </c>
      <c r="AC126" s="19">
        <f t="shared" si="36"/>
        <v>0</v>
      </c>
      <c r="AD126" s="19">
        <f t="shared" si="47"/>
        <v>281.95409973968685</v>
      </c>
      <c r="AE126" s="23">
        <f t="shared" si="37"/>
        <v>1212.8170997396869</v>
      </c>
      <c r="AF126" s="27">
        <f>(1/(2*LOG(3.7*$I126/'Calculation Constants'!$B$4*1000)))^2</f>
        <v>1.1152845500629007E-2</v>
      </c>
      <c r="AG126" s="19">
        <f t="shared" si="38"/>
        <v>0.59621735446906032</v>
      </c>
      <c r="AH126" s="19">
        <f>IF($H126&gt;0,'Calculation Constants'!$B$9*Hydraulics!$K126^2/2/9.81/MAX($F$4:$F$253)*$H126,"")</f>
        <v>3.5282785359788842E-2</v>
      </c>
      <c r="AI126" s="19">
        <f t="shared" si="48"/>
        <v>0.63150013982884912</v>
      </c>
      <c r="AJ126" s="19">
        <f t="shared" si="39"/>
        <v>0</v>
      </c>
      <c r="AK126" s="19">
        <f t="shared" si="49"/>
        <v>271.11198294087922</v>
      </c>
      <c r="AL126" s="23">
        <f t="shared" si="40"/>
        <v>1201.9749829408793</v>
      </c>
      <c r="AM126" s="22">
        <f>(1/(2*LOG(3.7*($I126-0.008)/'Calculation Constants'!$B$5*1000)))^2</f>
        <v>1.4104604303736145E-2</v>
      </c>
      <c r="AN126" s="19">
        <f t="shared" si="50"/>
        <v>0.75676661531854661</v>
      </c>
      <c r="AO126" s="19">
        <f>IF($H126&gt;0,'Calculation Constants'!$B$9*Hydraulics!$K126^2/2/9.81/MAX($F$4:$F$253)*$H126,"")</f>
        <v>3.5282785359788842E-2</v>
      </c>
      <c r="AP126" s="19">
        <f t="shared" si="51"/>
        <v>0.7920494006783354</v>
      </c>
      <c r="AQ126" s="19">
        <f t="shared" si="41"/>
        <v>0</v>
      </c>
      <c r="AR126" s="19">
        <f t="shared" si="52"/>
        <v>251.52497311725324</v>
      </c>
      <c r="AS126" s="23">
        <f t="shared" si="42"/>
        <v>1182.3879731172533</v>
      </c>
    </row>
    <row r="127" spans="5:45">
      <c r="E127" s="35" t="str">
        <f t="shared" si="28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3"/>
        <v>2</v>
      </c>
      <c r="I127" s="19">
        <v>2.2000000000000002</v>
      </c>
      <c r="J127" s="36">
        <f>'Flow Rate Calculations'!$B$7</f>
        <v>4.0831050228310497</v>
      </c>
      <c r="K127" s="36">
        <f t="shared" si="43"/>
        <v>1.0741261942924094</v>
      </c>
      <c r="L127" s="37">
        <f>$I127*$K127/'Calculation Constants'!$B$7</f>
        <v>2091219.139330355</v>
      </c>
      <c r="M127" s="37" t="str">
        <f t="shared" si="29"/>
        <v>Greater Dynamic Pressures</v>
      </c>
      <c r="N127" s="23">
        <f t="shared" si="44"/>
        <v>287.07357965283904</v>
      </c>
      <c r="O127" s="56">
        <f t="shared" si="30"/>
        <v>280.35046940968437</v>
      </c>
      <c r="P127" s="65">
        <f>MAX(I127*1000/'Calculation Constants'!$B$14,O127*10*I127*1000/2/('Calculation Constants'!$B$12*1000*'Calculation Constants'!$B$13))</f>
        <v>20.559034423376854</v>
      </c>
      <c r="Q127" s="67">
        <f t="shared" si="31"/>
        <v>2210025.824970562</v>
      </c>
      <c r="R127" s="27">
        <f>(1/(2*LOG(3.7*$I127/'Calculation Constants'!$B$2*1000)))^2</f>
        <v>8.4679866037394684E-3</v>
      </c>
      <c r="S127" s="19">
        <f t="shared" si="45"/>
        <v>0.45268811177167712</v>
      </c>
      <c r="T127" s="19">
        <f>IF($H127&gt;0,'Calculation Constants'!$B$9*Hydraulics!$K127^2/2/9.81/MAX($F$4:$F$253)*$H127,"")</f>
        <v>3.5282785359788842E-2</v>
      </c>
      <c r="U127" s="19">
        <f t="shared" si="46"/>
        <v>0.48797089713146596</v>
      </c>
      <c r="V127" s="19">
        <f t="shared" si="32"/>
        <v>0</v>
      </c>
      <c r="W127" s="19">
        <f t="shared" si="33"/>
        <v>287.07357965283904</v>
      </c>
      <c r="X127" s="23">
        <f t="shared" si="34"/>
        <v>1218.997579652839</v>
      </c>
      <c r="Y127" s="22">
        <f>(1/(2*LOG(3.7*$I127/'Calculation Constants'!$B$3*1000)))^2</f>
        <v>9.4904462912918219E-3</v>
      </c>
      <c r="Z127" s="19">
        <f t="shared" si="35"/>
        <v>0.50734754464280807</v>
      </c>
      <c r="AA127" s="19">
        <f>IF($H127&gt;0,'Calculation Constants'!$B$9*Hydraulics!$K127^2/2/9.81/MAX($F$4:$F$253)*$H127,"")</f>
        <v>3.5282785359788842E-2</v>
      </c>
      <c r="AB127" s="19">
        <f t="shared" si="54"/>
        <v>0.54263033000259686</v>
      </c>
      <c r="AC127" s="19">
        <f t="shared" si="36"/>
        <v>0</v>
      </c>
      <c r="AD127" s="19">
        <f t="shared" si="47"/>
        <v>280.35046940968437</v>
      </c>
      <c r="AE127" s="23">
        <f t="shared" si="37"/>
        <v>1212.2744694096843</v>
      </c>
      <c r="AF127" s="27">
        <f>(1/(2*LOG(3.7*$I127/'Calculation Constants'!$B$4*1000)))^2</f>
        <v>1.1152845500629007E-2</v>
      </c>
      <c r="AG127" s="19">
        <f t="shared" si="38"/>
        <v>0.59621735446906032</v>
      </c>
      <c r="AH127" s="19">
        <f>IF($H127&gt;0,'Calculation Constants'!$B$9*Hydraulics!$K127^2/2/9.81/MAX($F$4:$F$253)*$H127,"")</f>
        <v>3.5282785359788842E-2</v>
      </c>
      <c r="AI127" s="19">
        <f t="shared" si="48"/>
        <v>0.63150013982884912</v>
      </c>
      <c r="AJ127" s="19">
        <f t="shared" si="39"/>
        <v>0</v>
      </c>
      <c r="AK127" s="19">
        <f t="shared" si="49"/>
        <v>269.41948280105044</v>
      </c>
      <c r="AL127" s="23">
        <f t="shared" si="40"/>
        <v>1201.3434828010504</v>
      </c>
      <c r="AM127" s="22">
        <f>(1/(2*LOG(3.7*($I127-0.008)/'Calculation Constants'!$B$5*1000)))^2</f>
        <v>1.4104604303736145E-2</v>
      </c>
      <c r="AN127" s="19">
        <f t="shared" si="50"/>
        <v>0.75676661531854661</v>
      </c>
      <c r="AO127" s="19">
        <f>IF($H127&gt;0,'Calculation Constants'!$B$9*Hydraulics!$K127^2/2/9.81/MAX($F$4:$F$253)*$H127,"")</f>
        <v>3.5282785359788842E-2</v>
      </c>
      <c r="AP127" s="19">
        <f t="shared" si="51"/>
        <v>0.7920494006783354</v>
      </c>
      <c r="AQ127" s="19">
        <f t="shared" si="41"/>
        <v>0</v>
      </c>
      <c r="AR127" s="19">
        <f t="shared" si="52"/>
        <v>249.67192371657507</v>
      </c>
      <c r="AS127" s="23">
        <f t="shared" si="42"/>
        <v>1181.595923716575</v>
      </c>
    </row>
    <row r="128" spans="5:45">
      <c r="E128" s="35" t="str">
        <f t="shared" si="28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3"/>
        <v>2</v>
      </c>
      <c r="I128" s="19">
        <v>2.2000000000000002</v>
      </c>
      <c r="J128" s="36">
        <f>'Flow Rate Calculations'!$B$7</f>
        <v>4.0831050228310497</v>
      </c>
      <c r="K128" s="36">
        <f t="shared" si="43"/>
        <v>1.0741261942924094</v>
      </c>
      <c r="L128" s="37">
        <f>$I128*$K128/'Calculation Constants'!$B$7</f>
        <v>2091219.139330355</v>
      </c>
      <c r="M128" s="37" t="str">
        <f t="shared" si="29"/>
        <v>Greater Dynamic Pressures</v>
      </c>
      <c r="N128" s="23">
        <f t="shared" si="44"/>
        <v>281.78760875570765</v>
      </c>
      <c r="O128" s="56">
        <f t="shared" si="30"/>
        <v>275.0098390796818</v>
      </c>
      <c r="P128" s="65">
        <f>MAX(I128*1000/'Calculation Constants'!$B$14,O128*10*I128*1000/2/('Calculation Constants'!$B$12*1000*'Calculation Constants'!$B$13))</f>
        <v>20.167388199176667</v>
      </c>
      <c r="Q128" s="67">
        <f t="shared" si="31"/>
        <v>2168314.7733484358</v>
      </c>
      <c r="R128" s="27">
        <f>(1/(2*LOG(3.7*$I128/'Calculation Constants'!$B$2*1000)))^2</f>
        <v>8.4679866037394684E-3</v>
      </c>
      <c r="S128" s="19">
        <f t="shared" si="45"/>
        <v>0.45268811177167712</v>
      </c>
      <c r="T128" s="19">
        <f>IF($H128&gt;0,'Calculation Constants'!$B$9*Hydraulics!$K128^2/2/9.81/MAX($F$4:$F$253)*$H128,"")</f>
        <v>3.5282785359788842E-2</v>
      </c>
      <c r="U128" s="19">
        <f t="shared" si="46"/>
        <v>0.48797089713146596</v>
      </c>
      <c r="V128" s="19">
        <f t="shared" si="32"/>
        <v>0</v>
      </c>
      <c r="W128" s="19">
        <f t="shared" si="33"/>
        <v>281.78760875570765</v>
      </c>
      <c r="X128" s="23">
        <f t="shared" si="34"/>
        <v>1218.5096087557076</v>
      </c>
      <c r="Y128" s="22">
        <f>(1/(2*LOG(3.7*$I128/'Calculation Constants'!$B$3*1000)))^2</f>
        <v>9.4904462912918219E-3</v>
      </c>
      <c r="Z128" s="19">
        <f t="shared" si="35"/>
        <v>0.50734754464280807</v>
      </c>
      <c r="AA128" s="19">
        <f>IF($H128&gt;0,'Calculation Constants'!$B$9*Hydraulics!$K128^2/2/9.81/MAX($F$4:$F$253)*$H128,"")</f>
        <v>3.5282785359788842E-2</v>
      </c>
      <c r="AB128" s="19">
        <f t="shared" si="54"/>
        <v>0.54263033000259686</v>
      </c>
      <c r="AC128" s="19">
        <f t="shared" si="36"/>
        <v>0</v>
      </c>
      <c r="AD128" s="19">
        <f t="shared" si="47"/>
        <v>275.0098390796818</v>
      </c>
      <c r="AE128" s="23">
        <f t="shared" si="37"/>
        <v>1211.7318390796818</v>
      </c>
      <c r="AF128" s="27">
        <f>(1/(2*LOG(3.7*$I128/'Calculation Constants'!$B$4*1000)))^2</f>
        <v>1.1152845500629007E-2</v>
      </c>
      <c r="AG128" s="19">
        <f t="shared" si="38"/>
        <v>0.59621735446906032</v>
      </c>
      <c r="AH128" s="19">
        <f>IF($H128&gt;0,'Calculation Constants'!$B$9*Hydraulics!$K128^2/2/9.81/MAX($F$4:$F$253)*$H128,"")</f>
        <v>3.5282785359788842E-2</v>
      </c>
      <c r="AI128" s="19">
        <f t="shared" si="48"/>
        <v>0.63150013982884912</v>
      </c>
      <c r="AJ128" s="19">
        <f t="shared" si="39"/>
        <v>0</v>
      </c>
      <c r="AK128" s="19">
        <f t="shared" si="49"/>
        <v>263.98998266122157</v>
      </c>
      <c r="AL128" s="23">
        <f t="shared" si="40"/>
        <v>1200.7119826612216</v>
      </c>
      <c r="AM128" s="22">
        <f>(1/(2*LOG(3.7*($I128-0.008)/'Calculation Constants'!$B$5*1000)))^2</f>
        <v>1.4104604303736145E-2</v>
      </c>
      <c r="AN128" s="19">
        <f t="shared" si="50"/>
        <v>0.75676661531854661</v>
      </c>
      <c r="AO128" s="19">
        <f>IF($H128&gt;0,'Calculation Constants'!$B$9*Hydraulics!$K128^2/2/9.81/MAX($F$4:$F$253)*$H128,"")</f>
        <v>3.5282785359788842E-2</v>
      </c>
      <c r="AP128" s="19">
        <f t="shared" si="51"/>
        <v>0.7920494006783354</v>
      </c>
      <c r="AQ128" s="19">
        <f t="shared" si="41"/>
        <v>0</v>
      </c>
      <c r="AR128" s="19">
        <f t="shared" si="52"/>
        <v>244.08187431589681</v>
      </c>
      <c r="AS128" s="23">
        <f t="shared" si="42"/>
        <v>1180.8038743158968</v>
      </c>
    </row>
    <row r="129" spans="5:45">
      <c r="E129" s="35" t="str">
        <f t="shared" si="28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3"/>
        <v>2</v>
      </c>
      <c r="I129" s="19">
        <v>2.2000000000000002</v>
      </c>
      <c r="J129" s="36">
        <f>'Flow Rate Calculations'!$B$7</f>
        <v>4.0831050228310497</v>
      </c>
      <c r="K129" s="36">
        <f t="shared" si="43"/>
        <v>1.0741261942924094</v>
      </c>
      <c r="L129" s="37">
        <f>$I129*$K129/'Calculation Constants'!$B$7</f>
        <v>2091219.139330355</v>
      </c>
      <c r="M129" s="37" t="str">
        <f t="shared" si="29"/>
        <v>Greater Dynamic Pressures</v>
      </c>
      <c r="N129" s="23">
        <f t="shared" si="44"/>
        <v>276.2446378585762</v>
      </c>
      <c r="O129" s="56">
        <f t="shared" si="30"/>
        <v>269.41220874967917</v>
      </c>
      <c r="P129" s="65">
        <f>MAX(I129*1000/'Calculation Constants'!$B$14,O129*10*I129*1000/2/('Calculation Constants'!$B$12*1000*'Calculation Constants'!$B$13))</f>
        <v>19.756895308309804</v>
      </c>
      <c r="Q129" s="67">
        <f t="shared" si="31"/>
        <v>2124580.275953589</v>
      </c>
      <c r="R129" s="27">
        <f>(1/(2*LOG(3.7*$I129/'Calculation Constants'!$B$2*1000)))^2</f>
        <v>8.4679866037394684E-3</v>
      </c>
      <c r="S129" s="19">
        <f t="shared" si="45"/>
        <v>0.45268811177167712</v>
      </c>
      <c r="T129" s="19">
        <f>IF($H129&gt;0,'Calculation Constants'!$B$9*Hydraulics!$K129^2/2/9.81/MAX($F$4:$F$253)*$H129,"")</f>
        <v>3.5282785359788842E-2</v>
      </c>
      <c r="U129" s="19">
        <f t="shared" si="46"/>
        <v>0.48797089713146596</v>
      </c>
      <c r="V129" s="19">
        <f t="shared" si="32"/>
        <v>0</v>
      </c>
      <c r="W129" s="19">
        <f t="shared" si="33"/>
        <v>276.2446378585762</v>
      </c>
      <c r="X129" s="23">
        <f t="shared" si="34"/>
        <v>1218.0216378585762</v>
      </c>
      <c r="Y129" s="22">
        <f>(1/(2*LOG(3.7*$I129/'Calculation Constants'!$B$3*1000)))^2</f>
        <v>9.4904462912918219E-3</v>
      </c>
      <c r="Z129" s="19">
        <f t="shared" si="35"/>
        <v>0.50734754464280807</v>
      </c>
      <c r="AA129" s="19">
        <f>IF($H129&gt;0,'Calculation Constants'!$B$9*Hydraulics!$K129^2/2/9.81/MAX($F$4:$F$253)*$H129,"")</f>
        <v>3.5282785359788842E-2</v>
      </c>
      <c r="AB129" s="19">
        <f t="shared" si="54"/>
        <v>0.54263033000259686</v>
      </c>
      <c r="AC129" s="19">
        <f t="shared" si="36"/>
        <v>0</v>
      </c>
      <c r="AD129" s="19">
        <f t="shared" si="47"/>
        <v>269.41220874967917</v>
      </c>
      <c r="AE129" s="23">
        <f t="shared" si="37"/>
        <v>1211.1892087496792</v>
      </c>
      <c r="AF129" s="27">
        <f>(1/(2*LOG(3.7*$I129/'Calculation Constants'!$B$4*1000)))^2</f>
        <v>1.1152845500629007E-2</v>
      </c>
      <c r="AG129" s="19">
        <f t="shared" si="38"/>
        <v>0.59621735446906032</v>
      </c>
      <c r="AH129" s="19">
        <f>IF($H129&gt;0,'Calculation Constants'!$B$9*Hydraulics!$K129^2/2/9.81/MAX($F$4:$F$253)*$H129,"")</f>
        <v>3.5282785359788842E-2</v>
      </c>
      <c r="AI129" s="19">
        <f t="shared" si="48"/>
        <v>0.63150013982884912</v>
      </c>
      <c r="AJ129" s="19">
        <f t="shared" si="39"/>
        <v>0</v>
      </c>
      <c r="AK129" s="19">
        <f t="shared" si="49"/>
        <v>258.30348252139265</v>
      </c>
      <c r="AL129" s="23">
        <f t="shared" si="40"/>
        <v>1200.0804825213927</v>
      </c>
      <c r="AM129" s="22">
        <f>(1/(2*LOG(3.7*($I129-0.008)/'Calculation Constants'!$B$5*1000)))^2</f>
        <v>1.4104604303736145E-2</v>
      </c>
      <c r="AN129" s="19">
        <f t="shared" si="50"/>
        <v>0.75676661531854661</v>
      </c>
      <c r="AO129" s="19">
        <f>IF($H129&gt;0,'Calculation Constants'!$B$9*Hydraulics!$K129^2/2/9.81/MAX($F$4:$F$253)*$H129,"")</f>
        <v>3.5282785359788842E-2</v>
      </c>
      <c r="AP129" s="19">
        <f t="shared" si="51"/>
        <v>0.7920494006783354</v>
      </c>
      <c r="AQ129" s="19">
        <f t="shared" si="41"/>
        <v>0</v>
      </c>
      <c r="AR129" s="19">
        <f t="shared" si="52"/>
        <v>238.2348249152185</v>
      </c>
      <c r="AS129" s="23">
        <f t="shared" si="42"/>
        <v>1180.0118249152185</v>
      </c>
    </row>
    <row r="130" spans="5:45">
      <c r="E130" s="35" t="str">
        <f t="shared" si="28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3"/>
        <v>2</v>
      </c>
      <c r="I130" s="19">
        <v>2.2000000000000002</v>
      </c>
      <c r="J130" s="36">
        <f>'Flow Rate Calculations'!$B$7</f>
        <v>4.0831050228310497</v>
      </c>
      <c r="K130" s="36">
        <f t="shared" si="43"/>
        <v>1.0741261942924094</v>
      </c>
      <c r="L130" s="37">
        <f>$I130*$K130/'Calculation Constants'!$B$7</f>
        <v>2091219.139330355</v>
      </c>
      <c r="M130" s="37" t="str">
        <f t="shared" si="29"/>
        <v>Greater Dynamic Pressures</v>
      </c>
      <c r="N130" s="23">
        <f t="shared" si="44"/>
        <v>269.39066696144482</v>
      </c>
      <c r="O130" s="56">
        <f t="shared" si="30"/>
        <v>262.50357841967661</v>
      </c>
      <c r="P130" s="65">
        <f>MAX(I130*1000/'Calculation Constants'!$B$14,O130*10*I130*1000/2/('Calculation Constants'!$B$12*1000*'Calculation Constants'!$B$13))</f>
        <v>19.250262417442954</v>
      </c>
      <c r="Q130" s="67">
        <f t="shared" si="31"/>
        <v>2070579.968253389</v>
      </c>
      <c r="R130" s="27">
        <f>(1/(2*LOG(3.7*$I130/'Calculation Constants'!$B$2*1000)))^2</f>
        <v>8.4679866037394684E-3</v>
      </c>
      <c r="S130" s="19">
        <f t="shared" si="45"/>
        <v>0.45268811177167712</v>
      </c>
      <c r="T130" s="19">
        <f>IF($H130&gt;0,'Calculation Constants'!$B$9*Hydraulics!$K130^2/2/9.81/MAX($F$4:$F$253)*$H130,"")</f>
        <v>3.5282785359788842E-2</v>
      </c>
      <c r="U130" s="19">
        <f t="shared" si="46"/>
        <v>0.48797089713146596</v>
      </c>
      <c r="V130" s="19">
        <f t="shared" si="32"/>
        <v>0</v>
      </c>
      <c r="W130" s="19">
        <f t="shared" si="33"/>
        <v>269.39066696144482</v>
      </c>
      <c r="X130" s="23">
        <f t="shared" si="34"/>
        <v>1217.5336669614449</v>
      </c>
      <c r="Y130" s="22">
        <f>(1/(2*LOG(3.7*$I130/'Calculation Constants'!$B$3*1000)))^2</f>
        <v>9.4904462912918219E-3</v>
      </c>
      <c r="Z130" s="19">
        <f t="shared" si="35"/>
        <v>0.50734754464280807</v>
      </c>
      <c r="AA130" s="19">
        <f>IF($H130&gt;0,'Calculation Constants'!$B$9*Hydraulics!$K130^2/2/9.81/MAX($F$4:$F$253)*$H130,"")</f>
        <v>3.5282785359788842E-2</v>
      </c>
      <c r="AB130" s="19">
        <f t="shared" si="54"/>
        <v>0.54263033000259686</v>
      </c>
      <c r="AC130" s="19">
        <f t="shared" si="36"/>
        <v>0</v>
      </c>
      <c r="AD130" s="19">
        <f t="shared" si="47"/>
        <v>262.50357841967661</v>
      </c>
      <c r="AE130" s="23">
        <f t="shared" si="37"/>
        <v>1210.6465784196766</v>
      </c>
      <c r="AF130" s="27">
        <f>(1/(2*LOG(3.7*$I130/'Calculation Constants'!$B$4*1000)))^2</f>
        <v>1.1152845500629007E-2</v>
      </c>
      <c r="AG130" s="19">
        <f t="shared" si="38"/>
        <v>0.59621735446906032</v>
      </c>
      <c r="AH130" s="19">
        <f>IF($H130&gt;0,'Calculation Constants'!$B$9*Hydraulics!$K130^2/2/9.81/MAX($F$4:$F$253)*$H130,"")</f>
        <v>3.5282785359788842E-2</v>
      </c>
      <c r="AI130" s="19">
        <f t="shared" si="48"/>
        <v>0.63150013982884912</v>
      </c>
      <c r="AJ130" s="19">
        <f t="shared" si="39"/>
        <v>0</v>
      </c>
      <c r="AK130" s="19">
        <f t="shared" si="49"/>
        <v>251.30598238156381</v>
      </c>
      <c r="AL130" s="23">
        <f t="shared" si="40"/>
        <v>1199.4489823815638</v>
      </c>
      <c r="AM130" s="22">
        <f>(1/(2*LOG(3.7*($I130-0.008)/'Calculation Constants'!$B$5*1000)))^2</f>
        <v>1.4104604303736145E-2</v>
      </c>
      <c r="AN130" s="19">
        <f t="shared" si="50"/>
        <v>0.75676661531854661</v>
      </c>
      <c r="AO130" s="19">
        <f>IF($H130&gt;0,'Calculation Constants'!$B$9*Hydraulics!$K130^2/2/9.81/MAX($F$4:$F$253)*$H130,"")</f>
        <v>3.5282785359788842E-2</v>
      </c>
      <c r="AP130" s="19">
        <f t="shared" si="51"/>
        <v>0.7920494006783354</v>
      </c>
      <c r="AQ130" s="19">
        <f t="shared" si="41"/>
        <v>0</v>
      </c>
      <c r="AR130" s="19">
        <f t="shared" si="52"/>
        <v>231.07677551454026</v>
      </c>
      <c r="AS130" s="23">
        <f t="shared" si="42"/>
        <v>1179.2197755145403</v>
      </c>
    </row>
    <row r="131" spans="5:45">
      <c r="E131" s="35" t="str">
        <f t="shared" si="28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3"/>
        <v>2</v>
      </c>
      <c r="I131" s="19">
        <v>2.2000000000000002</v>
      </c>
      <c r="J131" s="36">
        <f>'Flow Rate Calculations'!$B$7</f>
        <v>4.0831050228310497</v>
      </c>
      <c r="K131" s="36">
        <f t="shared" si="43"/>
        <v>1.0741261942924094</v>
      </c>
      <c r="L131" s="37">
        <f>$I131*$K131/'Calculation Constants'!$B$7</f>
        <v>2091219.139330355</v>
      </c>
      <c r="M131" s="37" t="str">
        <f t="shared" si="29"/>
        <v>Greater Dynamic Pressures</v>
      </c>
      <c r="N131" s="23">
        <f t="shared" si="44"/>
        <v>261.62869606431343</v>
      </c>
      <c r="O131" s="56">
        <f t="shared" si="30"/>
        <v>254.68694808967405</v>
      </c>
      <c r="P131" s="65">
        <f>MAX(I131*1000/'Calculation Constants'!$B$14,O131*10*I131*1000/2/('Calculation Constants'!$B$12*1000*'Calculation Constants'!$B$13))</f>
        <v>18.677042859909431</v>
      </c>
      <c r="Q131" s="67">
        <f t="shared" si="31"/>
        <v>2009451.8795784353</v>
      </c>
      <c r="R131" s="27">
        <f>(1/(2*LOG(3.7*$I131/'Calculation Constants'!$B$2*1000)))^2</f>
        <v>8.4679866037394684E-3</v>
      </c>
      <c r="S131" s="19">
        <f t="shared" si="45"/>
        <v>0.45268811177167712</v>
      </c>
      <c r="T131" s="19">
        <f>IF($H131&gt;0,'Calculation Constants'!$B$9*Hydraulics!$K131^2/2/9.81/MAX($F$4:$F$253)*$H131,"")</f>
        <v>3.5282785359788842E-2</v>
      </c>
      <c r="U131" s="19">
        <f t="shared" si="46"/>
        <v>0.48797089713146596</v>
      </c>
      <c r="V131" s="19">
        <f t="shared" si="32"/>
        <v>0</v>
      </c>
      <c r="W131" s="19">
        <f t="shared" si="33"/>
        <v>261.62869606431343</v>
      </c>
      <c r="X131" s="23">
        <f t="shared" si="34"/>
        <v>1217.0456960643135</v>
      </c>
      <c r="Y131" s="22">
        <f>(1/(2*LOG(3.7*$I131/'Calculation Constants'!$B$3*1000)))^2</f>
        <v>9.4904462912918219E-3</v>
      </c>
      <c r="Z131" s="19">
        <f t="shared" si="35"/>
        <v>0.50734754464280807</v>
      </c>
      <c r="AA131" s="19">
        <f>IF($H131&gt;0,'Calculation Constants'!$B$9*Hydraulics!$K131^2/2/9.81/MAX($F$4:$F$253)*$H131,"")</f>
        <v>3.5282785359788842E-2</v>
      </c>
      <c r="AB131" s="19">
        <f t="shared" si="54"/>
        <v>0.54263033000259686</v>
      </c>
      <c r="AC131" s="19">
        <f t="shared" si="36"/>
        <v>0</v>
      </c>
      <c r="AD131" s="19">
        <f t="shared" si="47"/>
        <v>254.68694808967405</v>
      </c>
      <c r="AE131" s="23">
        <f t="shared" si="37"/>
        <v>1210.1039480896741</v>
      </c>
      <c r="AF131" s="27">
        <f>(1/(2*LOG(3.7*$I131/'Calculation Constants'!$B$4*1000)))^2</f>
        <v>1.1152845500629007E-2</v>
      </c>
      <c r="AG131" s="19">
        <f t="shared" si="38"/>
        <v>0.59621735446906032</v>
      </c>
      <c r="AH131" s="19">
        <f>IF($H131&gt;0,'Calculation Constants'!$B$9*Hydraulics!$K131^2/2/9.81/MAX($F$4:$F$253)*$H131,"")</f>
        <v>3.5282785359788842E-2</v>
      </c>
      <c r="AI131" s="19">
        <f t="shared" si="48"/>
        <v>0.63150013982884912</v>
      </c>
      <c r="AJ131" s="19">
        <f t="shared" si="39"/>
        <v>0</v>
      </c>
      <c r="AK131" s="19">
        <f t="shared" si="49"/>
        <v>243.40048224173495</v>
      </c>
      <c r="AL131" s="23">
        <f t="shared" si="40"/>
        <v>1198.817482241735</v>
      </c>
      <c r="AM131" s="22">
        <f>(1/(2*LOG(3.7*($I131-0.008)/'Calculation Constants'!$B$5*1000)))^2</f>
        <v>1.4104604303736145E-2</v>
      </c>
      <c r="AN131" s="19">
        <f t="shared" si="50"/>
        <v>0.75676661531854661</v>
      </c>
      <c r="AO131" s="19">
        <f>IF($H131&gt;0,'Calculation Constants'!$B$9*Hydraulics!$K131^2/2/9.81/MAX($F$4:$F$253)*$H131,"")</f>
        <v>3.5282785359788842E-2</v>
      </c>
      <c r="AP131" s="19">
        <f t="shared" si="51"/>
        <v>0.7920494006783354</v>
      </c>
      <c r="AQ131" s="19">
        <f t="shared" si="41"/>
        <v>0</v>
      </c>
      <c r="AR131" s="19">
        <f t="shared" si="52"/>
        <v>223.01072611386201</v>
      </c>
      <c r="AS131" s="23">
        <f t="shared" si="42"/>
        <v>1178.427726113862</v>
      </c>
    </row>
    <row r="132" spans="5:45">
      <c r="E132" s="35" t="str">
        <f t="shared" ref="E132:E195" si="55">IF(OR(F132=$B$4,F132=$B$5,F132=$B$6),"Pump Station",IF(OR(F132=$B$11,F132=$B$12,F132=$B$13,F132=$B$14,F132=$B$15),"Reservoir",""))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3"/>
        <v>2</v>
      </c>
      <c r="I132" s="19">
        <v>2.2000000000000002</v>
      </c>
      <c r="J132" s="36">
        <f>'Flow Rate Calculations'!$B$7</f>
        <v>4.0831050228310497</v>
      </c>
      <c r="K132" s="36">
        <f t="shared" si="43"/>
        <v>1.0741261942924094</v>
      </c>
      <c r="L132" s="37">
        <f>$I132*$K132/'Calculation Constants'!$B$7</f>
        <v>2091219.139330355</v>
      </c>
      <c r="M132" s="37" t="str">
        <f t="shared" ref="M132:M195" si="56">IF(X132&gt;VLOOKUP(F132,$B$11:$D$15,2),"Greater Dynamic Pressures",VLOOKUP(F132,$B$11:$C$15,2)-G132)</f>
        <v>Greater Dynamic Pressures</v>
      </c>
      <c r="N132" s="23">
        <f t="shared" si="44"/>
        <v>253.85772516718202</v>
      </c>
      <c r="O132" s="56">
        <f t="shared" ref="O132:O195" si="57">MAX(M132,AD132)</f>
        <v>246.86131775967146</v>
      </c>
      <c r="P132" s="65">
        <f>MAX(I132*1000/'Calculation Constants'!$B$14,O132*10*I132*1000/2/('Calculation Constants'!$B$12*1000*'Calculation Constants'!$B$13))</f>
        <v>18.103163302375911</v>
      </c>
      <c r="Q132" s="67">
        <f t="shared" ref="Q132:Q195" si="58">(I132^2*PI()/4-(I132-P132/1000*2)^2*PI()/4)*H132*1000*7850</f>
        <v>1948220.9393823897</v>
      </c>
      <c r="R132" s="27">
        <f>(1/(2*LOG(3.7*$I132/'Calculation Constants'!$B$2*1000)))^2</f>
        <v>8.4679866037394684E-3</v>
      </c>
      <c r="S132" s="19">
        <f t="shared" si="45"/>
        <v>0.45268811177167712</v>
      </c>
      <c r="T132" s="19">
        <f>IF($H132&gt;0,'Calculation Constants'!$B$9*Hydraulics!$K132^2/2/9.81/MAX($F$4:$F$253)*$H132,"")</f>
        <v>3.5282785359788842E-2</v>
      </c>
      <c r="U132" s="19">
        <f t="shared" si="46"/>
        <v>0.48797089713146596</v>
      </c>
      <c r="V132" s="19">
        <f t="shared" ref="V132:V195" si="59">IF($F132=$B$4,$D$4,(IF($F132=$B$5,$D$5,IF($F132=$B$6,$D$6,0))))</f>
        <v>0</v>
      </c>
      <c r="W132" s="19">
        <f t="shared" ref="W132:W195" si="60">IF(E132="Reservoir",VLOOKUP(F132,$B$11:$D$15,2)-G132,X132-$G132)</f>
        <v>253.85772516718202</v>
      </c>
      <c r="X132" s="23">
        <f t="shared" ref="X132:X195" si="61">IF($E132="Reservoir",VLOOKUP($F132,$B$11:$D$15,2)+V132,X131-U132+V132)</f>
        <v>1216.5577251671821</v>
      </c>
      <c r="Y132" s="22">
        <f>(1/(2*LOG(3.7*$I132/'Calculation Constants'!$B$3*1000)))^2</f>
        <v>9.4904462912918219E-3</v>
      </c>
      <c r="Z132" s="19">
        <f t="shared" ref="Z132:Z195" si="62">IF($H132&gt;0,Y132*$H132*$K132^2/2/9.81/$I132*1000,"")</f>
        <v>0.50734754464280807</v>
      </c>
      <c r="AA132" s="19">
        <f>IF($H132&gt;0,'Calculation Constants'!$B$9*Hydraulics!$K132^2/2/9.81/MAX($F$4:$F$253)*$H132,"")</f>
        <v>3.5282785359788842E-2</v>
      </c>
      <c r="AB132" s="19">
        <f t="shared" si="54"/>
        <v>0.54263033000259686</v>
      </c>
      <c r="AC132" s="19">
        <f t="shared" ref="AC132:AC195" si="63">IF($F132=$B$4,$D$4,(IF($F132=$B$5,$D$5,IF($F132=$B$6,$D$6,0))))</f>
        <v>0</v>
      </c>
      <c r="AD132" s="19">
        <f t="shared" si="47"/>
        <v>246.86131775967146</v>
      </c>
      <c r="AE132" s="23">
        <f t="shared" ref="AE132:AE195" si="64">IF($E132="Reservoir",VLOOKUP($F132,$B$11:$D$15,2)+AC132,AE131-AB132+AC132)</f>
        <v>1209.5613177596715</v>
      </c>
      <c r="AF132" s="27">
        <f>(1/(2*LOG(3.7*$I132/'Calculation Constants'!$B$4*1000)))^2</f>
        <v>1.1152845500629007E-2</v>
      </c>
      <c r="AG132" s="19">
        <f t="shared" ref="AG132:AG195" si="65">IF($H132&gt;0,AF132*$H132*$K132^2/2/9.81/$I132*1000,"")</f>
        <v>0.59621735446906032</v>
      </c>
      <c r="AH132" s="19">
        <f>IF($H132&gt;0,'Calculation Constants'!$B$9*Hydraulics!$K132^2/2/9.81/MAX($F$4:$F$253)*$H132,"")</f>
        <v>3.5282785359788842E-2</v>
      </c>
      <c r="AI132" s="19">
        <f t="shared" si="48"/>
        <v>0.63150013982884912</v>
      </c>
      <c r="AJ132" s="19">
        <f t="shared" ref="AJ132:AJ195" si="66">IF($F132=$B$4,$D$4,(IF($F132=$B$5,$D$5,IF($F132=$B$6,$D$6,0))))</f>
        <v>0</v>
      </c>
      <c r="AK132" s="19">
        <f t="shared" si="49"/>
        <v>235.48598210190607</v>
      </c>
      <c r="AL132" s="23">
        <f t="shared" ref="AL132:AL195" si="67">IF($E132="Reservoir",VLOOKUP($F132,$B$11:$D$15,2)+AJ132,AL131-AI132+AJ132)</f>
        <v>1198.1859821019061</v>
      </c>
      <c r="AM132" s="22">
        <f>(1/(2*LOG(3.7*($I132-0.008)/'Calculation Constants'!$B$5*1000)))^2</f>
        <v>1.4104604303736145E-2</v>
      </c>
      <c r="AN132" s="19">
        <f t="shared" si="50"/>
        <v>0.75676661531854661</v>
      </c>
      <c r="AO132" s="19">
        <f>IF($H132&gt;0,'Calculation Constants'!$B$9*Hydraulics!$K132^2/2/9.81/MAX($F$4:$F$253)*$H132,"")</f>
        <v>3.5282785359788842E-2</v>
      </c>
      <c r="AP132" s="19">
        <f t="shared" si="51"/>
        <v>0.7920494006783354</v>
      </c>
      <c r="AQ132" s="19">
        <f t="shared" ref="AQ132:AQ195" si="68">IF($F132=$B$4,$D$4,(IF($F132=$B$5,$D$5,IF($F132=$B$6,$D$6,0))))</f>
        <v>0</v>
      </c>
      <c r="AR132" s="19">
        <f t="shared" si="52"/>
        <v>214.93567671318374</v>
      </c>
      <c r="AS132" s="23">
        <f t="shared" ref="AS132:AS195" si="69">IF($E132="Reservoir",VLOOKUP($F132,$B$11:$D$15,2)+AQ132,AS131-AP132+AQ132)</f>
        <v>1177.6356767131838</v>
      </c>
    </row>
    <row r="133" spans="5:45">
      <c r="E133" s="35" t="str">
        <f t="shared" si="55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3"/>
        <v>2</v>
      </c>
      <c r="I133" s="19">
        <v>2.2000000000000002</v>
      </c>
      <c r="J133" s="36">
        <f>'Flow Rate Calculations'!$B$7</f>
        <v>4.0831050228310497</v>
      </c>
      <c r="K133" s="36">
        <f t="shared" ref="K133:K196" si="70">J133/I133^2/PI()*4</f>
        <v>1.0741261942924094</v>
      </c>
      <c r="L133" s="37">
        <f>$I133*$K133/'Calculation Constants'!$B$7</f>
        <v>2091219.139330355</v>
      </c>
      <c r="M133" s="37" t="str">
        <f t="shared" si="56"/>
        <v>Greater Dynamic Pressures</v>
      </c>
      <c r="N133" s="23">
        <f t="shared" ref="N133:N196" si="71">W133</f>
        <v>246.78875427005073</v>
      </c>
      <c r="O133" s="56">
        <f t="shared" si="57"/>
        <v>239.73768742966899</v>
      </c>
      <c r="P133" s="65">
        <f>MAX(I133*1000/'Calculation Constants'!$B$14,O133*10*I133*1000/2/('Calculation Constants'!$B$12*1000*'Calculation Constants'!$B$13))</f>
        <v>17.580763744842393</v>
      </c>
      <c r="Q133" s="67">
        <f t="shared" si="58"/>
        <v>1892454.4879311889</v>
      </c>
      <c r="R133" s="27">
        <f>(1/(2*LOG(3.7*$I133/'Calculation Constants'!$B$2*1000)))^2</f>
        <v>8.4679866037394684E-3</v>
      </c>
      <c r="S133" s="19">
        <f t="shared" ref="S133:S196" si="72">IF($H133&gt;0,R133*$H133*$K133^2/2/9.81/$I133*1000,"")</f>
        <v>0.45268811177167712</v>
      </c>
      <c r="T133" s="19">
        <f>IF($H133&gt;0,'Calculation Constants'!$B$9*Hydraulics!$K133^2/2/9.81/MAX($F$4:$F$253)*$H133,"")</f>
        <v>3.5282785359788842E-2</v>
      </c>
      <c r="U133" s="19">
        <f t="shared" ref="U133:U196" si="73">IF(S133="",0,S133+T133)</f>
        <v>0.48797089713146596</v>
      </c>
      <c r="V133" s="19">
        <f t="shared" si="59"/>
        <v>0</v>
      </c>
      <c r="W133" s="19">
        <f t="shared" si="60"/>
        <v>246.78875427005073</v>
      </c>
      <c r="X133" s="23">
        <f t="shared" si="61"/>
        <v>1216.0697542700507</v>
      </c>
      <c r="Y133" s="22">
        <f>(1/(2*LOG(3.7*$I133/'Calculation Constants'!$B$3*1000)))^2</f>
        <v>9.4904462912918219E-3</v>
      </c>
      <c r="Z133" s="19">
        <f t="shared" si="62"/>
        <v>0.50734754464280807</v>
      </c>
      <c r="AA133" s="19">
        <f>IF($H133&gt;0,'Calculation Constants'!$B$9*Hydraulics!$K133^2/2/9.81/MAX($F$4:$F$253)*$H133,"")</f>
        <v>3.5282785359788842E-2</v>
      </c>
      <c r="AB133" s="19">
        <f t="shared" si="54"/>
        <v>0.54263033000259686</v>
      </c>
      <c r="AC133" s="19">
        <f t="shared" si="63"/>
        <v>0</v>
      </c>
      <c r="AD133" s="19">
        <f t="shared" ref="AD133:AD196" si="74">AE133-$G133</f>
        <v>239.73768742966899</v>
      </c>
      <c r="AE133" s="23">
        <f t="shared" si="64"/>
        <v>1209.0186874296689</v>
      </c>
      <c r="AF133" s="27">
        <f>(1/(2*LOG(3.7*$I133/'Calculation Constants'!$B$4*1000)))^2</f>
        <v>1.1152845500629007E-2</v>
      </c>
      <c r="AG133" s="19">
        <f t="shared" si="65"/>
        <v>0.59621735446906032</v>
      </c>
      <c r="AH133" s="19">
        <f>IF($H133&gt;0,'Calculation Constants'!$B$9*Hydraulics!$K133^2/2/9.81/MAX($F$4:$F$253)*$H133,"")</f>
        <v>3.5282785359788842E-2</v>
      </c>
      <c r="AI133" s="19">
        <f t="shared" ref="AI133:AI196" si="75">IF(AG133="",0,AG133+AH133)</f>
        <v>0.63150013982884912</v>
      </c>
      <c r="AJ133" s="19">
        <f t="shared" si="66"/>
        <v>0</v>
      </c>
      <c r="AK133" s="19">
        <f t="shared" ref="AK133:AK196" si="76">AL133-$G133</f>
        <v>228.27348196207731</v>
      </c>
      <c r="AL133" s="23">
        <f t="shared" si="67"/>
        <v>1197.5544819620773</v>
      </c>
      <c r="AM133" s="22">
        <f>(1/(2*LOG(3.7*($I133-0.008)/'Calculation Constants'!$B$5*1000)))^2</f>
        <v>1.4104604303736145E-2</v>
      </c>
      <c r="AN133" s="19">
        <f t="shared" ref="AN133:AN196" si="77">IF($H133&gt;0,AM133*$H133*$K133^2/2/9.81/($I133-0.008)*1000,"")</f>
        <v>0.75676661531854661</v>
      </c>
      <c r="AO133" s="19">
        <f>IF($H133&gt;0,'Calculation Constants'!$B$9*Hydraulics!$K133^2/2/9.81/MAX($F$4:$F$253)*$H133,"")</f>
        <v>3.5282785359788842E-2</v>
      </c>
      <c r="AP133" s="19">
        <f t="shared" ref="AP133:AP196" si="78">IF(AN133="",0,AN133+AO133)</f>
        <v>0.7920494006783354</v>
      </c>
      <c r="AQ133" s="19">
        <f t="shared" si="68"/>
        <v>0</v>
      </c>
      <c r="AR133" s="19">
        <f t="shared" ref="AR133:AR196" si="79">AS133-$G133</f>
        <v>207.56262731250558</v>
      </c>
      <c r="AS133" s="23">
        <f t="shared" si="69"/>
        <v>1176.8436273125055</v>
      </c>
    </row>
    <row r="134" spans="5:45">
      <c r="E134" s="35" t="str">
        <f t="shared" si="55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0">F134-F133</f>
        <v>2</v>
      </c>
      <c r="I134" s="19">
        <v>2.2000000000000002</v>
      </c>
      <c r="J134" s="36">
        <f>'Flow Rate Calculations'!$B$7</f>
        <v>4.0831050228310497</v>
      </c>
      <c r="K134" s="36">
        <f t="shared" si="70"/>
        <v>1.0741261942924094</v>
      </c>
      <c r="L134" s="37">
        <f>$I134*$K134/'Calculation Constants'!$B$7</f>
        <v>2091219.139330355</v>
      </c>
      <c r="M134" s="37" t="str">
        <f t="shared" si="56"/>
        <v>Greater Dynamic Pressures</v>
      </c>
      <c r="N134" s="23">
        <f t="shared" si="71"/>
        <v>235.2977833729193</v>
      </c>
      <c r="O134" s="56">
        <f t="shared" si="57"/>
        <v>228.19205709966639</v>
      </c>
      <c r="P134" s="65">
        <f>MAX(I134*1000/'Calculation Constants'!$B$14,O134*10*I134*1000/2/('Calculation Constants'!$B$12*1000*'Calculation Constants'!$B$13))</f>
        <v>16.73408418730887</v>
      </c>
      <c r="Q134" s="67">
        <f t="shared" si="58"/>
        <v>1802013.7872599028</v>
      </c>
      <c r="R134" s="27">
        <f>(1/(2*LOG(3.7*$I134/'Calculation Constants'!$B$2*1000)))^2</f>
        <v>8.4679866037394684E-3</v>
      </c>
      <c r="S134" s="19">
        <f t="shared" si="72"/>
        <v>0.45268811177167712</v>
      </c>
      <c r="T134" s="19">
        <f>IF($H134&gt;0,'Calculation Constants'!$B$9*Hydraulics!$K134^2/2/9.81/MAX($F$4:$F$253)*$H134,"")</f>
        <v>3.5282785359788842E-2</v>
      </c>
      <c r="U134" s="19">
        <f t="shared" si="73"/>
        <v>0.48797089713146596</v>
      </c>
      <c r="V134" s="19">
        <f t="shared" si="59"/>
        <v>0</v>
      </c>
      <c r="W134" s="19">
        <f t="shared" si="60"/>
        <v>235.2977833729193</v>
      </c>
      <c r="X134" s="23">
        <f t="shared" si="61"/>
        <v>1215.5817833729193</v>
      </c>
      <c r="Y134" s="22">
        <f>(1/(2*LOG(3.7*$I134/'Calculation Constants'!$B$3*1000)))^2</f>
        <v>9.4904462912918219E-3</v>
      </c>
      <c r="Z134" s="19">
        <f t="shared" si="62"/>
        <v>0.50734754464280807</v>
      </c>
      <c r="AA134" s="19">
        <f>IF($H134&gt;0,'Calculation Constants'!$B$9*Hydraulics!$K134^2/2/9.81/MAX($F$4:$F$253)*$H134,"")</f>
        <v>3.5282785359788842E-2</v>
      </c>
      <c r="AB134" s="19">
        <f t="shared" si="54"/>
        <v>0.54263033000259686</v>
      </c>
      <c r="AC134" s="19">
        <f t="shared" si="63"/>
        <v>0</v>
      </c>
      <c r="AD134" s="19">
        <f t="shared" si="74"/>
        <v>228.19205709966639</v>
      </c>
      <c r="AE134" s="23">
        <f t="shared" si="64"/>
        <v>1208.4760570996664</v>
      </c>
      <c r="AF134" s="27">
        <f>(1/(2*LOG(3.7*$I134/'Calculation Constants'!$B$4*1000)))^2</f>
        <v>1.1152845500629007E-2</v>
      </c>
      <c r="AG134" s="19">
        <f t="shared" si="65"/>
        <v>0.59621735446906032</v>
      </c>
      <c r="AH134" s="19">
        <f>IF($H134&gt;0,'Calculation Constants'!$B$9*Hydraulics!$K134^2/2/9.81/MAX($F$4:$F$253)*$H134,"")</f>
        <v>3.5282785359788842E-2</v>
      </c>
      <c r="AI134" s="19">
        <f t="shared" si="75"/>
        <v>0.63150013982884912</v>
      </c>
      <c r="AJ134" s="19">
        <f t="shared" si="66"/>
        <v>0</v>
      </c>
      <c r="AK134" s="19">
        <f t="shared" si="76"/>
        <v>216.63898182224841</v>
      </c>
      <c r="AL134" s="23">
        <f t="shared" si="67"/>
        <v>1196.9229818222484</v>
      </c>
      <c r="AM134" s="22">
        <f>(1/(2*LOG(3.7*($I134-0.008)/'Calculation Constants'!$B$5*1000)))^2</f>
        <v>1.4104604303736145E-2</v>
      </c>
      <c r="AN134" s="19">
        <f t="shared" si="77"/>
        <v>0.75676661531854661</v>
      </c>
      <c r="AO134" s="19">
        <f>IF($H134&gt;0,'Calculation Constants'!$B$9*Hydraulics!$K134^2/2/9.81/MAX($F$4:$F$253)*$H134,"")</f>
        <v>3.5282785359788842E-2</v>
      </c>
      <c r="AP134" s="19">
        <f t="shared" si="78"/>
        <v>0.7920494006783354</v>
      </c>
      <c r="AQ134" s="19">
        <f t="shared" si="68"/>
        <v>0</v>
      </c>
      <c r="AR134" s="19">
        <f t="shared" si="79"/>
        <v>195.76757791182729</v>
      </c>
      <c r="AS134" s="23">
        <f t="shared" si="69"/>
        <v>1176.0515779118273</v>
      </c>
    </row>
    <row r="135" spans="5:45">
      <c r="E135" s="35" t="str">
        <f t="shared" si="55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0"/>
        <v>2</v>
      </c>
      <c r="I135" s="19">
        <v>2.2000000000000002</v>
      </c>
      <c r="J135" s="36">
        <f>'Flow Rate Calculations'!$B$7</f>
        <v>4.0831050228310497</v>
      </c>
      <c r="K135" s="36">
        <f t="shared" si="70"/>
        <v>1.0741261942924094</v>
      </c>
      <c r="L135" s="37">
        <f>$I135*$K135/'Calculation Constants'!$B$7</f>
        <v>2091219.139330355</v>
      </c>
      <c r="M135" s="37" t="str">
        <f t="shared" si="56"/>
        <v>Greater Dynamic Pressures</v>
      </c>
      <c r="N135" s="23">
        <f t="shared" si="71"/>
        <v>228.54281247578785</v>
      </c>
      <c r="O135" s="56">
        <f t="shared" si="57"/>
        <v>221.38242676966377</v>
      </c>
      <c r="P135" s="65">
        <f>MAX(I135*1000/'Calculation Constants'!$B$14,O135*10*I135*1000/2/('Calculation Constants'!$B$12*1000*'Calculation Constants'!$B$13))</f>
        <v>16.234711296442011</v>
      </c>
      <c r="Q135" s="67">
        <f t="shared" si="58"/>
        <v>1748638.570399059</v>
      </c>
      <c r="R135" s="27">
        <f>(1/(2*LOG(3.7*$I135/'Calculation Constants'!$B$2*1000)))^2</f>
        <v>8.4679866037394684E-3</v>
      </c>
      <c r="S135" s="19">
        <f t="shared" si="72"/>
        <v>0.45268811177167712</v>
      </c>
      <c r="T135" s="19">
        <f>IF($H135&gt;0,'Calculation Constants'!$B$9*Hydraulics!$K135^2/2/9.81/MAX($F$4:$F$253)*$H135,"")</f>
        <v>3.5282785359788842E-2</v>
      </c>
      <c r="U135" s="19">
        <f t="shared" si="73"/>
        <v>0.48797089713146596</v>
      </c>
      <c r="V135" s="19">
        <f t="shared" si="59"/>
        <v>0</v>
      </c>
      <c r="W135" s="19">
        <f t="shared" si="60"/>
        <v>228.54281247578785</v>
      </c>
      <c r="X135" s="23">
        <f t="shared" si="61"/>
        <v>1215.0938124757879</v>
      </c>
      <c r="Y135" s="22">
        <f>(1/(2*LOG(3.7*$I135/'Calculation Constants'!$B$3*1000)))^2</f>
        <v>9.4904462912918219E-3</v>
      </c>
      <c r="Z135" s="19">
        <f t="shared" si="62"/>
        <v>0.50734754464280807</v>
      </c>
      <c r="AA135" s="19">
        <f>IF($H135&gt;0,'Calculation Constants'!$B$9*Hydraulics!$K135^2/2/9.81/MAX($F$4:$F$253)*$H135,"")</f>
        <v>3.5282785359788842E-2</v>
      </c>
      <c r="AB135" s="19">
        <f t="shared" si="54"/>
        <v>0.54263033000259686</v>
      </c>
      <c r="AC135" s="19">
        <f t="shared" si="63"/>
        <v>0</v>
      </c>
      <c r="AD135" s="19">
        <f t="shared" si="74"/>
        <v>221.38242676966377</v>
      </c>
      <c r="AE135" s="23">
        <f t="shared" si="64"/>
        <v>1207.9334267696638</v>
      </c>
      <c r="AF135" s="27">
        <f>(1/(2*LOG(3.7*$I135/'Calculation Constants'!$B$4*1000)))^2</f>
        <v>1.1152845500629007E-2</v>
      </c>
      <c r="AG135" s="19">
        <f t="shared" si="65"/>
        <v>0.59621735446906032</v>
      </c>
      <c r="AH135" s="19">
        <f>IF($H135&gt;0,'Calculation Constants'!$B$9*Hydraulics!$K135^2/2/9.81/MAX($F$4:$F$253)*$H135,"")</f>
        <v>3.5282785359788842E-2</v>
      </c>
      <c r="AI135" s="19">
        <f t="shared" si="75"/>
        <v>0.63150013982884912</v>
      </c>
      <c r="AJ135" s="19">
        <f t="shared" si="66"/>
        <v>0</v>
      </c>
      <c r="AK135" s="19">
        <f t="shared" si="76"/>
        <v>209.7404816824195</v>
      </c>
      <c r="AL135" s="23">
        <f t="shared" si="67"/>
        <v>1196.2914816824195</v>
      </c>
      <c r="AM135" s="22">
        <f>(1/(2*LOG(3.7*($I135-0.008)/'Calculation Constants'!$B$5*1000)))^2</f>
        <v>1.4104604303736145E-2</v>
      </c>
      <c r="AN135" s="19">
        <f t="shared" si="77"/>
        <v>0.75676661531854661</v>
      </c>
      <c r="AO135" s="19">
        <f>IF($H135&gt;0,'Calculation Constants'!$B$9*Hydraulics!$K135^2/2/9.81/MAX($F$4:$F$253)*$H135,"")</f>
        <v>3.5282785359788842E-2</v>
      </c>
      <c r="AP135" s="19">
        <f t="shared" si="78"/>
        <v>0.7920494006783354</v>
      </c>
      <c r="AQ135" s="19">
        <f t="shared" si="68"/>
        <v>0</v>
      </c>
      <c r="AR135" s="19">
        <f t="shared" si="79"/>
        <v>188.70852851114898</v>
      </c>
      <c r="AS135" s="23">
        <f t="shared" si="69"/>
        <v>1175.259528511149</v>
      </c>
    </row>
    <row r="136" spans="5:45">
      <c r="E136" s="35" t="str">
        <f t="shared" si="55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0"/>
        <v>2</v>
      </c>
      <c r="I136" s="19">
        <v>2.2000000000000002</v>
      </c>
      <c r="J136" s="36">
        <f>'Flow Rate Calculations'!$B$7</f>
        <v>4.0831050228310497</v>
      </c>
      <c r="K136" s="36">
        <f t="shared" si="70"/>
        <v>1.0741261942924094</v>
      </c>
      <c r="L136" s="37">
        <f>$I136*$K136/'Calculation Constants'!$B$7</f>
        <v>2091219.139330355</v>
      </c>
      <c r="M136" s="37" t="str">
        <f t="shared" si="56"/>
        <v>Greater Dynamic Pressures</v>
      </c>
      <c r="N136" s="23">
        <f t="shared" si="71"/>
        <v>225.40784157865653</v>
      </c>
      <c r="O136" s="56">
        <f t="shared" si="57"/>
        <v>218.19279643966127</v>
      </c>
      <c r="P136" s="65">
        <f>MAX(I136*1000/'Calculation Constants'!$B$14,O136*10*I136*1000/2/('Calculation Constants'!$B$12*1000*'Calculation Constants'!$B$13))</f>
        <v>16.000805072241828</v>
      </c>
      <c r="Q136" s="67">
        <f t="shared" si="58"/>
        <v>1723629.1630602239</v>
      </c>
      <c r="R136" s="27">
        <f>(1/(2*LOG(3.7*$I136/'Calculation Constants'!$B$2*1000)))^2</f>
        <v>8.4679866037394684E-3</v>
      </c>
      <c r="S136" s="19">
        <f t="shared" si="72"/>
        <v>0.45268811177167712</v>
      </c>
      <c r="T136" s="19">
        <f>IF($H136&gt;0,'Calculation Constants'!$B$9*Hydraulics!$K136^2/2/9.81/MAX($F$4:$F$253)*$H136,"")</f>
        <v>3.5282785359788842E-2</v>
      </c>
      <c r="U136" s="19">
        <f t="shared" si="73"/>
        <v>0.48797089713146596</v>
      </c>
      <c r="V136" s="19">
        <f t="shared" si="59"/>
        <v>0</v>
      </c>
      <c r="W136" s="19">
        <f t="shared" si="60"/>
        <v>225.40784157865653</v>
      </c>
      <c r="X136" s="23">
        <f t="shared" si="61"/>
        <v>1214.6058415786565</v>
      </c>
      <c r="Y136" s="22">
        <f>(1/(2*LOG(3.7*$I136/'Calculation Constants'!$B$3*1000)))^2</f>
        <v>9.4904462912918219E-3</v>
      </c>
      <c r="Z136" s="19">
        <f t="shared" si="62"/>
        <v>0.50734754464280807</v>
      </c>
      <c r="AA136" s="19">
        <f>IF($H136&gt;0,'Calculation Constants'!$B$9*Hydraulics!$K136^2/2/9.81/MAX($F$4:$F$253)*$H136,"")</f>
        <v>3.5282785359788842E-2</v>
      </c>
      <c r="AB136" s="19">
        <f t="shared" ref="AB136:AB199" si="81">IF(Z136="",0,Z136+AA136)</f>
        <v>0.54263033000259686</v>
      </c>
      <c r="AC136" s="19">
        <f t="shared" si="63"/>
        <v>0</v>
      </c>
      <c r="AD136" s="19">
        <f t="shared" si="74"/>
        <v>218.19279643966127</v>
      </c>
      <c r="AE136" s="23">
        <f t="shared" si="64"/>
        <v>1207.3907964396612</v>
      </c>
      <c r="AF136" s="27">
        <f>(1/(2*LOG(3.7*$I136/'Calculation Constants'!$B$4*1000)))^2</f>
        <v>1.1152845500629007E-2</v>
      </c>
      <c r="AG136" s="19">
        <f t="shared" si="65"/>
        <v>0.59621735446906032</v>
      </c>
      <c r="AH136" s="19">
        <f>IF($H136&gt;0,'Calculation Constants'!$B$9*Hydraulics!$K136^2/2/9.81/MAX($F$4:$F$253)*$H136,"")</f>
        <v>3.5282785359788842E-2</v>
      </c>
      <c r="AI136" s="19">
        <f t="shared" si="75"/>
        <v>0.63150013982884912</v>
      </c>
      <c r="AJ136" s="19">
        <f t="shared" si="66"/>
        <v>0</v>
      </c>
      <c r="AK136" s="19">
        <f t="shared" si="76"/>
        <v>206.46198154259071</v>
      </c>
      <c r="AL136" s="23">
        <f t="shared" si="67"/>
        <v>1195.6599815425907</v>
      </c>
      <c r="AM136" s="22">
        <f>(1/(2*LOG(3.7*($I136-0.008)/'Calculation Constants'!$B$5*1000)))^2</f>
        <v>1.4104604303736145E-2</v>
      </c>
      <c r="AN136" s="19">
        <f t="shared" si="77"/>
        <v>0.75676661531854661</v>
      </c>
      <c r="AO136" s="19">
        <f>IF($H136&gt;0,'Calculation Constants'!$B$9*Hydraulics!$K136^2/2/9.81/MAX($F$4:$F$253)*$H136,"")</f>
        <v>3.5282785359788842E-2</v>
      </c>
      <c r="AP136" s="19">
        <f t="shared" si="78"/>
        <v>0.7920494006783354</v>
      </c>
      <c r="AQ136" s="19">
        <f t="shared" si="68"/>
        <v>0</v>
      </c>
      <c r="AR136" s="19">
        <f t="shared" si="79"/>
        <v>185.2694791104708</v>
      </c>
      <c r="AS136" s="23">
        <f t="shared" si="69"/>
        <v>1174.4674791104708</v>
      </c>
    </row>
    <row r="137" spans="5:45">
      <c r="E137" s="35" t="str">
        <f t="shared" si="55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0"/>
        <v>2</v>
      </c>
      <c r="I137" s="19">
        <v>2.2000000000000002</v>
      </c>
      <c r="J137" s="36">
        <f>'Flow Rate Calculations'!$B$7</f>
        <v>4.0831050228310497</v>
      </c>
      <c r="K137" s="36">
        <f t="shared" si="70"/>
        <v>1.0741261942924094</v>
      </c>
      <c r="L137" s="37">
        <f>$I137*$K137/'Calculation Constants'!$B$7</f>
        <v>2091219.139330355</v>
      </c>
      <c r="M137" s="37" t="str">
        <f t="shared" si="56"/>
        <v>Greater Dynamic Pressures</v>
      </c>
      <c r="N137" s="23">
        <f t="shared" si="71"/>
        <v>219.72787068152513</v>
      </c>
      <c r="O137" s="56">
        <f t="shared" si="57"/>
        <v>212.45816610965869</v>
      </c>
      <c r="P137" s="65">
        <f>MAX(I137*1000/'Calculation Constants'!$B$14,O137*10*I137*1000/2/('Calculation Constants'!$B$12*1000*'Calculation Constants'!$B$13))</f>
        <v>15.580265514708303</v>
      </c>
      <c r="Q137" s="67">
        <f t="shared" si="58"/>
        <v>1678651.2222728082</v>
      </c>
      <c r="R137" s="27">
        <f>(1/(2*LOG(3.7*$I137/'Calculation Constants'!$B$2*1000)))^2</f>
        <v>8.4679866037394684E-3</v>
      </c>
      <c r="S137" s="19">
        <f t="shared" si="72"/>
        <v>0.45268811177167712</v>
      </c>
      <c r="T137" s="19">
        <f>IF($H137&gt;0,'Calculation Constants'!$B$9*Hydraulics!$K137^2/2/9.81/MAX($F$4:$F$253)*$H137,"")</f>
        <v>3.5282785359788842E-2</v>
      </c>
      <c r="U137" s="19">
        <f t="shared" si="73"/>
        <v>0.48797089713146596</v>
      </c>
      <c r="V137" s="19">
        <f t="shared" si="59"/>
        <v>0</v>
      </c>
      <c r="W137" s="19">
        <f t="shared" si="60"/>
        <v>219.72787068152513</v>
      </c>
      <c r="X137" s="23">
        <f t="shared" si="61"/>
        <v>1214.1178706815251</v>
      </c>
      <c r="Y137" s="22">
        <f>(1/(2*LOG(3.7*$I137/'Calculation Constants'!$B$3*1000)))^2</f>
        <v>9.4904462912918219E-3</v>
      </c>
      <c r="Z137" s="19">
        <f t="shared" si="62"/>
        <v>0.50734754464280807</v>
      </c>
      <c r="AA137" s="19">
        <f>IF($H137&gt;0,'Calculation Constants'!$B$9*Hydraulics!$K137^2/2/9.81/MAX($F$4:$F$253)*$H137,"")</f>
        <v>3.5282785359788842E-2</v>
      </c>
      <c r="AB137" s="19">
        <f t="shared" si="81"/>
        <v>0.54263033000259686</v>
      </c>
      <c r="AC137" s="19">
        <f t="shared" si="63"/>
        <v>0</v>
      </c>
      <c r="AD137" s="19">
        <f t="shared" si="74"/>
        <v>212.45816610965869</v>
      </c>
      <c r="AE137" s="23">
        <f t="shared" si="64"/>
        <v>1206.8481661096587</v>
      </c>
      <c r="AF137" s="27">
        <f>(1/(2*LOG(3.7*$I137/'Calculation Constants'!$B$4*1000)))^2</f>
        <v>1.1152845500629007E-2</v>
      </c>
      <c r="AG137" s="19">
        <f t="shared" si="65"/>
        <v>0.59621735446906032</v>
      </c>
      <c r="AH137" s="19">
        <f>IF($H137&gt;0,'Calculation Constants'!$B$9*Hydraulics!$K137^2/2/9.81/MAX($F$4:$F$253)*$H137,"")</f>
        <v>3.5282785359788842E-2</v>
      </c>
      <c r="AI137" s="19">
        <f t="shared" si="75"/>
        <v>0.63150013982884912</v>
      </c>
      <c r="AJ137" s="19">
        <f t="shared" si="66"/>
        <v>0</v>
      </c>
      <c r="AK137" s="19">
        <f t="shared" si="76"/>
        <v>200.63848140276184</v>
      </c>
      <c r="AL137" s="23">
        <f t="shared" si="67"/>
        <v>1195.0284814027618</v>
      </c>
      <c r="AM137" s="22">
        <f>(1/(2*LOG(3.7*($I137-0.008)/'Calculation Constants'!$B$5*1000)))^2</f>
        <v>1.4104604303736145E-2</v>
      </c>
      <c r="AN137" s="19">
        <f t="shared" si="77"/>
        <v>0.75676661531854661</v>
      </c>
      <c r="AO137" s="19">
        <f>IF($H137&gt;0,'Calculation Constants'!$B$9*Hydraulics!$K137^2/2/9.81/MAX($F$4:$F$253)*$H137,"")</f>
        <v>3.5282785359788842E-2</v>
      </c>
      <c r="AP137" s="19">
        <f t="shared" si="78"/>
        <v>0.7920494006783354</v>
      </c>
      <c r="AQ137" s="19">
        <f t="shared" si="68"/>
        <v>0</v>
      </c>
      <c r="AR137" s="19">
        <f t="shared" si="79"/>
        <v>179.28542970979254</v>
      </c>
      <c r="AS137" s="23">
        <f t="shared" si="69"/>
        <v>1173.6754297097925</v>
      </c>
    </row>
    <row r="138" spans="5:45">
      <c r="E138" s="35" t="str">
        <f t="shared" si="55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0"/>
        <v>2</v>
      </c>
      <c r="I138" s="19">
        <v>2.2000000000000002</v>
      </c>
      <c r="J138" s="36">
        <f>'Flow Rate Calculations'!$B$7</f>
        <v>4.0831050228310497</v>
      </c>
      <c r="K138" s="36">
        <f t="shared" si="70"/>
        <v>1.0741261942924094</v>
      </c>
      <c r="L138" s="37">
        <f>$I138*$K138/'Calculation Constants'!$B$7</f>
        <v>2091219.139330355</v>
      </c>
      <c r="M138" s="37" t="str">
        <f t="shared" si="56"/>
        <v>Greater Dynamic Pressures</v>
      </c>
      <c r="N138" s="23">
        <f t="shared" si="71"/>
        <v>213.7128997843937</v>
      </c>
      <c r="O138" s="56">
        <f t="shared" si="57"/>
        <v>206.38853577965608</v>
      </c>
      <c r="P138" s="65">
        <f>MAX(I138*1000/'Calculation Constants'!$B$14,O138*10*I138*1000/2/('Calculation Constants'!$B$12*1000*'Calculation Constants'!$B$13))</f>
        <v>15.135159290508115</v>
      </c>
      <c r="Q138" s="67">
        <f t="shared" si="58"/>
        <v>1631026.7999669299</v>
      </c>
      <c r="R138" s="27">
        <f>(1/(2*LOG(3.7*$I138/'Calculation Constants'!$B$2*1000)))^2</f>
        <v>8.4679866037394684E-3</v>
      </c>
      <c r="S138" s="19">
        <f t="shared" si="72"/>
        <v>0.45268811177167712</v>
      </c>
      <c r="T138" s="19">
        <f>IF($H138&gt;0,'Calculation Constants'!$B$9*Hydraulics!$K138^2/2/9.81/MAX($F$4:$F$253)*$H138,"")</f>
        <v>3.5282785359788842E-2</v>
      </c>
      <c r="U138" s="19">
        <f t="shared" si="73"/>
        <v>0.48797089713146596</v>
      </c>
      <c r="V138" s="19">
        <f t="shared" si="59"/>
        <v>0</v>
      </c>
      <c r="W138" s="19">
        <f t="shared" si="60"/>
        <v>213.7128997843937</v>
      </c>
      <c r="X138" s="23">
        <f t="shared" si="61"/>
        <v>1213.6298997843937</v>
      </c>
      <c r="Y138" s="22">
        <f>(1/(2*LOG(3.7*$I138/'Calculation Constants'!$B$3*1000)))^2</f>
        <v>9.4904462912918219E-3</v>
      </c>
      <c r="Z138" s="19">
        <f t="shared" si="62"/>
        <v>0.50734754464280807</v>
      </c>
      <c r="AA138" s="19">
        <f>IF($H138&gt;0,'Calculation Constants'!$B$9*Hydraulics!$K138^2/2/9.81/MAX($F$4:$F$253)*$H138,"")</f>
        <v>3.5282785359788842E-2</v>
      </c>
      <c r="AB138" s="19">
        <f t="shared" si="81"/>
        <v>0.54263033000259686</v>
      </c>
      <c r="AC138" s="19">
        <f t="shared" si="63"/>
        <v>0</v>
      </c>
      <c r="AD138" s="19">
        <f t="shared" si="74"/>
        <v>206.38853577965608</v>
      </c>
      <c r="AE138" s="23">
        <f t="shared" si="64"/>
        <v>1206.3055357796561</v>
      </c>
      <c r="AF138" s="27">
        <f>(1/(2*LOG(3.7*$I138/'Calculation Constants'!$B$4*1000)))^2</f>
        <v>1.1152845500629007E-2</v>
      </c>
      <c r="AG138" s="19">
        <f t="shared" si="65"/>
        <v>0.59621735446906032</v>
      </c>
      <c r="AH138" s="19">
        <f>IF($H138&gt;0,'Calculation Constants'!$B$9*Hydraulics!$K138^2/2/9.81/MAX($F$4:$F$253)*$H138,"")</f>
        <v>3.5282785359788842E-2</v>
      </c>
      <c r="AI138" s="19">
        <f t="shared" si="75"/>
        <v>0.63150013982884912</v>
      </c>
      <c r="AJ138" s="19">
        <f t="shared" si="66"/>
        <v>0</v>
      </c>
      <c r="AK138" s="19">
        <f t="shared" si="76"/>
        <v>194.47998126293294</v>
      </c>
      <c r="AL138" s="23">
        <f t="shared" si="67"/>
        <v>1194.396981262933</v>
      </c>
      <c r="AM138" s="22">
        <f>(1/(2*LOG(3.7*($I138-0.008)/'Calculation Constants'!$B$5*1000)))^2</f>
        <v>1.4104604303736145E-2</v>
      </c>
      <c r="AN138" s="19">
        <f t="shared" si="77"/>
        <v>0.75676661531854661</v>
      </c>
      <c r="AO138" s="19">
        <f>IF($H138&gt;0,'Calculation Constants'!$B$9*Hydraulics!$K138^2/2/9.81/MAX($F$4:$F$253)*$H138,"")</f>
        <v>3.5282785359788842E-2</v>
      </c>
      <c r="AP138" s="19">
        <f t="shared" si="78"/>
        <v>0.7920494006783354</v>
      </c>
      <c r="AQ138" s="19">
        <f t="shared" si="68"/>
        <v>0</v>
      </c>
      <c r="AR138" s="19">
        <f t="shared" si="79"/>
        <v>172.96638030911424</v>
      </c>
      <c r="AS138" s="23">
        <f t="shared" si="69"/>
        <v>1172.8833803091143</v>
      </c>
    </row>
    <row r="139" spans="5:45">
      <c r="E139" s="35" t="str">
        <f t="shared" si="55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0"/>
        <v>2</v>
      </c>
      <c r="I139" s="19">
        <v>2.2000000000000002</v>
      </c>
      <c r="J139" s="36">
        <f>'Flow Rate Calculations'!$B$7</f>
        <v>4.0831050228310497</v>
      </c>
      <c r="K139" s="36">
        <f t="shared" si="70"/>
        <v>1.0741261942924094</v>
      </c>
      <c r="L139" s="37">
        <f>$I139*$K139/'Calculation Constants'!$B$7</f>
        <v>2091219.139330355</v>
      </c>
      <c r="M139" s="37" t="str">
        <f t="shared" si="56"/>
        <v>Greater Dynamic Pressures</v>
      </c>
      <c r="N139" s="23">
        <f t="shared" si="71"/>
        <v>208.51892888726229</v>
      </c>
      <c r="O139" s="56">
        <f t="shared" si="57"/>
        <v>201.1399054496535</v>
      </c>
      <c r="P139" s="65">
        <f>MAX(I139*1000/'Calculation Constants'!$B$14,O139*10*I139*1000/2/('Calculation Constants'!$B$12*1000*'Calculation Constants'!$B$13))</f>
        <v>14.750259732974591</v>
      </c>
      <c r="Q139" s="67">
        <f t="shared" si="58"/>
        <v>1589828.4709208168</v>
      </c>
      <c r="R139" s="27">
        <f>(1/(2*LOG(3.7*$I139/'Calculation Constants'!$B$2*1000)))^2</f>
        <v>8.4679866037394684E-3</v>
      </c>
      <c r="S139" s="19">
        <f t="shared" si="72"/>
        <v>0.45268811177167712</v>
      </c>
      <c r="T139" s="19">
        <f>IF($H139&gt;0,'Calculation Constants'!$B$9*Hydraulics!$K139^2/2/9.81/MAX($F$4:$F$253)*$H139,"")</f>
        <v>3.5282785359788842E-2</v>
      </c>
      <c r="U139" s="19">
        <f t="shared" si="73"/>
        <v>0.48797089713146596</v>
      </c>
      <c r="V139" s="19">
        <f t="shared" si="59"/>
        <v>0</v>
      </c>
      <c r="W139" s="19">
        <f t="shared" si="60"/>
        <v>208.51892888726229</v>
      </c>
      <c r="X139" s="23">
        <f t="shared" si="61"/>
        <v>1213.1419288872623</v>
      </c>
      <c r="Y139" s="22">
        <f>(1/(2*LOG(3.7*$I139/'Calculation Constants'!$B$3*1000)))^2</f>
        <v>9.4904462912918219E-3</v>
      </c>
      <c r="Z139" s="19">
        <f t="shared" si="62"/>
        <v>0.50734754464280807</v>
      </c>
      <c r="AA139" s="19">
        <f>IF($H139&gt;0,'Calculation Constants'!$B$9*Hydraulics!$K139^2/2/9.81/MAX($F$4:$F$253)*$H139,"")</f>
        <v>3.5282785359788842E-2</v>
      </c>
      <c r="AB139" s="19">
        <f t="shared" si="81"/>
        <v>0.54263033000259686</v>
      </c>
      <c r="AC139" s="19">
        <f t="shared" si="63"/>
        <v>0</v>
      </c>
      <c r="AD139" s="19">
        <f t="shared" si="74"/>
        <v>201.1399054496535</v>
      </c>
      <c r="AE139" s="23">
        <f t="shared" si="64"/>
        <v>1205.7629054496535</v>
      </c>
      <c r="AF139" s="27">
        <f>(1/(2*LOG(3.7*$I139/'Calculation Constants'!$B$4*1000)))^2</f>
        <v>1.1152845500629007E-2</v>
      </c>
      <c r="AG139" s="19">
        <f t="shared" si="65"/>
        <v>0.59621735446906032</v>
      </c>
      <c r="AH139" s="19">
        <f>IF($H139&gt;0,'Calculation Constants'!$B$9*Hydraulics!$K139^2/2/9.81/MAX($F$4:$F$253)*$H139,"")</f>
        <v>3.5282785359788842E-2</v>
      </c>
      <c r="AI139" s="19">
        <f t="shared" si="75"/>
        <v>0.63150013982884912</v>
      </c>
      <c r="AJ139" s="19">
        <f t="shared" si="66"/>
        <v>0</v>
      </c>
      <c r="AK139" s="19">
        <f t="shared" si="76"/>
        <v>189.14248112310406</v>
      </c>
      <c r="AL139" s="23">
        <f t="shared" si="67"/>
        <v>1193.7654811231041</v>
      </c>
      <c r="AM139" s="22">
        <f>(1/(2*LOG(3.7*($I139-0.008)/'Calculation Constants'!$B$5*1000)))^2</f>
        <v>1.4104604303736145E-2</v>
      </c>
      <c r="AN139" s="19">
        <f t="shared" si="77"/>
        <v>0.75676661531854661</v>
      </c>
      <c r="AO139" s="19">
        <f>IF($H139&gt;0,'Calculation Constants'!$B$9*Hydraulics!$K139^2/2/9.81/MAX($F$4:$F$253)*$H139,"")</f>
        <v>3.5282785359788842E-2</v>
      </c>
      <c r="AP139" s="19">
        <f t="shared" si="78"/>
        <v>0.7920494006783354</v>
      </c>
      <c r="AQ139" s="19">
        <f t="shared" si="68"/>
        <v>0</v>
      </c>
      <c r="AR139" s="19">
        <f t="shared" si="79"/>
        <v>167.46833090843597</v>
      </c>
      <c r="AS139" s="23">
        <f t="shared" si="69"/>
        <v>1172.091330908436</v>
      </c>
    </row>
    <row r="140" spans="5:45">
      <c r="E140" s="35" t="str">
        <f t="shared" si="55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0"/>
        <v>2</v>
      </c>
      <c r="I140" s="19">
        <v>2.2000000000000002</v>
      </c>
      <c r="J140" s="36">
        <f>'Flow Rate Calculations'!$B$7</f>
        <v>4.0831050228310497</v>
      </c>
      <c r="K140" s="36">
        <f t="shared" si="70"/>
        <v>1.0741261942924094</v>
      </c>
      <c r="L140" s="37">
        <f>$I140*$K140/'Calculation Constants'!$B$7</f>
        <v>2091219.139330355</v>
      </c>
      <c r="M140" s="37" t="str">
        <f t="shared" si="56"/>
        <v>Greater Dynamic Pressures</v>
      </c>
      <c r="N140" s="23">
        <f t="shared" si="71"/>
        <v>203.83495799013099</v>
      </c>
      <c r="O140" s="56">
        <f t="shared" si="57"/>
        <v>196.40127511965102</v>
      </c>
      <c r="P140" s="65">
        <f>MAX(I140*1000/'Calculation Constants'!$B$14,O140*10*I140*1000/2/('Calculation Constants'!$B$12*1000*'Calculation Constants'!$B$13))</f>
        <v>14.402760175441076</v>
      </c>
      <c r="Q140" s="67">
        <f t="shared" si="58"/>
        <v>1552620.7565348481</v>
      </c>
      <c r="R140" s="27">
        <f>(1/(2*LOG(3.7*$I140/'Calculation Constants'!$B$2*1000)))^2</f>
        <v>8.4679866037394684E-3</v>
      </c>
      <c r="S140" s="19">
        <f t="shared" si="72"/>
        <v>0.45268811177167712</v>
      </c>
      <c r="T140" s="19">
        <f>IF($H140&gt;0,'Calculation Constants'!$B$9*Hydraulics!$K140^2/2/9.81/MAX($F$4:$F$253)*$H140,"")</f>
        <v>3.5282785359788842E-2</v>
      </c>
      <c r="U140" s="19">
        <f t="shared" si="73"/>
        <v>0.48797089713146596</v>
      </c>
      <c r="V140" s="19">
        <f t="shared" si="59"/>
        <v>0</v>
      </c>
      <c r="W140" s="19">
        <f t="shared" si="60"/>
        <v>203.83495799013099</v>
      </c>
      <c r="X140" s="23">
        <f t="shared" si="61"/>
        <v>1212.6539579901309</v>
      </c>
      <c r="Y140" s="22">
        <f>(1/(2*LOG(3.7*$I140/'Calculation Constants'!$B$3*1000)))^2</f>
        <v>9.4904462912918219E-3</v>
      </c>
      <c r="Z140" s="19">
        <f t="shared" si="62"/>
        <v>0.50734754464280807</v>
      </c>
      <c r="AA140" s="19">
        <f>IF($H140&gt;0,'Calculation Constants'!$B$9*Hydraulics!$K140^2/2/9.81/MAX($F$4:$F$253)*$H140,"")</f>
        <v>3.5282785359788842E-2</v>
      </c>
      <c r="AB140" s="19">
        <f t="shared" si="81"/>
        <v>0.54263033000259686</v>
      </c>
      <c r="AC140" s="19">
        <f t="shared" si="63"/>
        <v>0</v>
      </c>
      <c r="AD140" s="19">
        <f t="shared" si="74"/>
        <v>196.40127511965102</v>
      </c>
      <c r="AE140" s="23">
        <f t="shared" si="64"/>
        <v>1205.220275119651</v>
      </c>
      <c r="AF140" s="27">
        <f>(1/(2*LOG(3.7*$I140/'Calculation Constants'!$B$4*1000)))^2</f>
        <v>1.1152845500629007E-2</v>
      </c>
      <c r="AG140" s="19">
        <f t="shared" si="65"/>
        <v>0.59621735446906032</v>
      </c>
      <c r="AH140" s="19">
        <f>IF($H140&gt;0,'Calculation Constants'!$B$9*Hydraulics!$K140^2/2/9.81/MAX($F$4:$F$253)*$H140,"")</f>
        <v>3.5282785359788842E-2</v>
      </c>
      <c r="AI140" s="19">
        <f t="shared" si="75"/>
        <v>0.63150013982884912</v>
      </c>
      <c r="AJ140" s="19">
        <f t="shared" si="66"/>
        <v>0</v>
      </c>
      <c r="AK140" s="19">
        <f t="shared" si="76"/>
        <v>184.31498098327529</v>
      </c>
      <c r="AL140" s="23">
        <f t="shared" si="67"/>
        <v>1193.1339809832753</v>
      </c>
      <c r="AM140" s="22">
        <f>(1/(2*LOG(3.7*($I140-0.008)/'Calculation Constants'!$B$5*1000)))^2</f>
        <v>1.4104604303736145E-2</v>
      </c>
      <c r="AN140" s="19">
        <f t="shared" si="77"/>
        <v>0.75676661531854661</v>
      </c>
      <c r="AO140" s="19">
        <f>IF($H140&gt;0,'Calculation Constants'!$B$9*Hydraulics!$K140^2/2/9.81/MAX($F$4:$F$253)*$H140,"")</f>
        <v>3.5282785359788842E-2</v>
      </c>
      <c r="AP140" s="19">
        <f t="shared" si="78"/>
        <v>0.7920494006783354</v>
      </c>
      <c r="AQ140" s="19">
        <f t="shared" si="68"/>
        <v>0</v>
      </c>
      <c r="AR140" s="19">
        <f t="shared" si="79"/>
        <v>162.48028150775781</v>
      </c>
      <c r="AS140" s="23">
        <f t="shared" si="69"/>
        <v>1171.2992815077578</v>
      </c>
    </row>
    <row r="141" spans="5:45">
      <c r="E141" s="35" t="str">
        <f t="shared" si="55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0"/>
        <v>2</v>
      </c>
      <c r="I141" s="19">
        <v>2.2000000000000002</v>
      </c>
      <c r="J141" s="36">
        <f>'Flow Rate Calculations'!$B$7</f>
        <v>4.0831050228310497</v>
      </c>
      <c r="K141" s="36">
        <f t="shared" si="70"/>
        <v>1.0741261942924094</v>
      </c>
      <c r="L141" s="37">
        <f>$I141*$K141/'Calculation Constants'!$B$7</f>
        <v>2091219.139330355</v>
      </c>
      <c r="M141" s="37" t="str">
        <f t="shared" si="56"/>
        <v>Greater Dynamic Pressures</v>
      </c>
      <c r="N141" s="23">
        <f t="shared" si="71"/>
        <v>204.33198709299961</v>
      </c>
      <c r="O141" s="56">
        <f t="shared" si="57"/>
        <v>196.84364478964847</v>
      </c>
      <c r="P141" s="65">
        <f>MAX(I141*1000/'Calculation Constants'!$B$14,O141*10*I141*1000/2/('Calculation Constants'!$B$12*1000*'Calculation Constants'!$B$13))</f>
        <v>14.435200617907556</v>
      </c>
      <c r="Q141" s="67">
        <f t="shared" si="58"/>
        <v>1556094.7462735448</v>
      </c>
      <c r="R141" s="27">
        <f>(1/(2*LOG(3.7*$I141/'Calculation Constants'!$B$2*1000)))^2</f>
        <v>8.4679866037394684E-3</v>
      </c>
      <c r="S141" s="19">
        <f t="shared" si="72"/>
        <v>0.45268811177167712</v>
      </c>
      <c r="T141" s="19">
        <f>IF($H141&gt;0,'Calculation Constants'!$B$9*Hydraulics!$K141^2/2/9.81/MAX($F$4:$F$253)*$H141,"")</f>
        <v>3.5282785359788842E-2</v>
      </c>
      <c r="U141" s="19">
        <f t="shared" si="73"/>
        <v>0.48797089713146596</v>
      </c>
      <c r="V141" s="19">
        <f t="shared" si="59"/>
        <v>0</v>
      </c>
      <c r="W141" s="19">
        <f t="shared" si="60"/>
        <v>204.33198709299961</v>
      </c>
      <c r="X141" s="23">
        <f t="shared" si="61"/>
        <v>1212.1659870929996</v>
      </c>
      <c r="Y141" s="22">
        <f>(1/(2*LOG(3.7*$I141/'Calculation Constants'!$B$3*1000)))^2</f>
        <v>9.4904462912918219E-3</v>
      </c>
      <c r="Z141" s="19">
        <f t="shared" si="62"/>
        <v>0.50734754464280807</v>
      </c>
      <c r="AA141" s="19">
        <f>IF($H141&gt;0,'Calculation Constants'!$B$9*Hydraulics!$K141^2/2/9.81/MAX($F$4:$F$253)*$H141,"")</f>
        <v>3.5282785359788842E-2</v>
      </c>
      <c r="AB141" s="19">
        <f t="shared" si="81"/>
        <v>0.54263033000259686</v>
      </c>
      <c r="AC141" s="19">
        <f t="shared" si="63"/>
        <v>0</v>
      </c>
      <c r="AD141" s="19">
        <f t="shared" si="74"/>
        <v>196.84364478964847</v>
      </c>
      <c r="AE141" s="23">
        <f t="shared" si="64"/>
        <v>1204.6776447896484</v>
      </c>
      <c r="AF141" s="27">
        <f>(1/(2*LOG(3.7*$I141/'Calculation Constants'!$B$4*1000)))^2</f>
        <v>1.1152845500629007E-2</v>
      </c>
      <c r="AG141" s="19">
        <f t="shared" si="65"/>
        <v>0.59621735446906032</v>
      </c>
      <c r="AH141" s="19">
        <f>IF($H141&gt;0,'Calculation Constants'!$B$9*Hydraulics!$K141^2/2/9.81/MAX($F$4:$F$253)*$H141,"")</f>
        <v>3.5282785359788842E-2</v>
      </c>
      <c r="AI141" s="19">
        <f t="shared" si="75"/>
        <v>0.63150013982884912</v>
      </c>
      <c r="AJ141" s="19">
        <f t="shared" si="66"/>
        <v>0</v>
      </c>
      <c r="AK141" s="19">
        <f t="shared" si="76"/>
        <v>184.66848084344645</v>
      </c>
      <c r="AL141" s="23">
        <f t="shared" si="67"/>
        <v>1192.5024808434464</v>
      </c>
      <c r="AM141" s="22">
        <f>(1/(2*LOG(3.7*($I141-0.008)/'Calculation Constants'!$B$5*1000)))^2</f>
        <v>1.4104604303736145E-2</v>
      </c>
      <c r="AN141" s="19">
        <f t="shared" si="77"/>
        <v>0.75676661531854661</v>
      </c>
      <c r="AO141" s="19">
        <f>IF($H141&gt;0,'Calculation Constants'!$B$9*Hydraulics!$K141^2/2/9.81/MAX($F$4:$F$253)*$H141,"")</f>
        <v>3.5282785359788842E-2</v>
      </c>
      <c r="AP141" s="19">
        <f t="shared" si="78"/>
        <v>0.7920494006783354</v>
      </c>
      <c r="AQ141" s="19">
        <f t="shared" si="68"/>
        <v>0</v>
      </c>
      <c r="AR141" s="19">
        <f t="shared" si="79"/>
        <v>162.67323210707957</v>
      </c>
      <c r="AS141" s="23">
        <f t="shared" si="69"/>
        <v>1170.5072321070795</v>
      </c>
    </row>
    <row r="142" spans="5:45">
      <c r="E142" s="35" t="str">
        <f t="shared" si="55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0"/>
        <v>2</v>
      </c>
      <c r="I142" s="19">
        <v>2.2000000000000002</v>
      </c>
      <c r="J142" s="36">
        <f>'Flow Rate Calculations'!$B$7</f>
        <v>4.0831050228310497</v>
      </c>
      <c r="K142" s="36">
        <f t="shared" si="70"/>
        <v>1.0741261942924094</v>
      </c>
      <c r="L142" s="37">
        <f>$I142*$K142/'Calculation Constants'!$B$7</f>
        <v>2091219.139330355</v>
      </c>
      <c r="M142" s="37" t="str">
        <f t="shared" si="56"/>
        <v>Greater Dynamic Pressures</v>
      </c>
      <c r="N142" s="23">
        <f t="shared" si="71"/>
        <v>206.05201619586819</v>
      </c>
      <c r="O142" s="56">
        <f t="shared" si="57"/>
        <v>198.50901445964587</v>
      </c>
      <c r="P142" s="65">
        <f>MAX(I142*1000/'Calculation Constants'!$B$14,O142*10*I142*1000/2/('Calculation Constants'!$B$12*1000*'Calculation Constants'!$B$13))</f>
        <v>14.557327727040699</v>
      </c>
      <c r="Q142" s="67">
        <f t="shared" si="58"/>
        <v>1569172.1918178694</v>
      </c>
      <c r="R142" s="27">
        <f>(1/(2*LOG(3.7*$I142/'Calculation Constants'!$B$2*1000)))^2</f>
        <v>8.4679866037394684E-3</v>
      </c>
      <c r="S142" s="19">
        <f t="shared" si="72"/>
        <v>0.45268811177167712</v>
      </c>
      <c r="T142" s="19">
        <f>IF($H142&gt;0,'Calculation Constants'!$B$9*Hydraulics!$K142^2/2/9.81/MAX($F$4:$F$253)*$H142,"")</f>
        <v>3.5282785359788842E-2</v>
      </c>
      <c r="U142" s="19">
        <f t="shared" si="73"/>
        <v>0.48797089713146596</v>
      </c>
      <c r="V142" s="19">
        <f t="shared" si="59"/>
        <v>0</v>
      </c>
      <c r="W142" s="19">
        <f t="shared" si="60"/>
        <v>206.05201619586819</v>
      </c>
      <c r="X142" s="23">
        <f t="shared" si="61"/>
        <v>1211.6780161958682</v>
      </c>
      <c r="Y142" s="22">
        <f>(1/(2*LOG(3.7*$I142/'Calculation Constants'!$B$3*1000)))^2</f>
        <v>9.4904462912918219E-3</v>
      </c>
      <c r="Z142" s="19">
        <f t="shared" si="62"/>
        <v>0.50734754464280807</v>
      </c>
      <c r="AA142" s="19">
        <f>IF($H142&gt;0,'Calculation Constants'!$B$9*Hydraulics!$K142^2/2/9.81/MAX($F$4:$F$253)*$H142,"")</f>
        <v>3.5282785359788842E-2</v>
      </c>
      <c r="AB142" s="19">
        <f t="shared" si="81"/>
        <v>0.54263033000259686</v>
      </c>
      <c r="AC142" s="19">
        <f t="shared" si="63"/>
        <v>0</v>
      </c>
      <c r="AD142" s="19">
        <f t="shared" si="74"/>
        <v>198.50901445964587</v>
      </c>
      <c r="AE142" s="23">
        <f t="shared" si="64"/>
        <v>1204.1350144596458</v>
      </c>
      <c r="AF142" s="27">
        <f>(1/(2*LOG(3.7*$I142/'Calculation Constants'!$B$4*1000)))^2</f>
        <v>1.1152845500629007E-2</v>
      </c>
      <c r="AG142" s="19">
        <f t="shared" si="65"/>
        <v>0.59621735446906032</v>
      </c>
      <c r="AH142" s="19">
        <f>IF($H142&gt;0,'Calculation Constants'!$B$9*Hydraulics!$K142^2/2/9.81/MAX($F$4:$F$253)*$H142,"")</f>
        <v>3.5282785359788842E-2</v>
      </c>
      <c r="AI142" s="19">
        <f t="shared" si="75"/>
        <v>0.63150013982884912</v>
      </c>
      <c r="AJ142" s="19">
        <f t="shared" si="66"/>
        <v>0</v>
      </c>
      <c r="AK142" s="19">
        <f t="shared" si="76"/>
        <v>186.24498070361756</v>
      </c>
      <c r="AL142" s="23">
        <f t="shared" si="67"/>
        <v>1191.8709807036175</v>
      </c>
      <c r="AM142" s="22">
        <f>(1/(2*LOG(3.7*($I142-0.008)/'Calculation Constants'!$B$5*1000)))^2</f>
        <v>1.4104604303736145E-2</v>
      </c>
      <c r="AN142" s="19">
        <f t="shared" si="77"/>
        <v>0.75676661531854661</v>
      </c>
      <c r="AO142" s="19">
        <f>IF($H142&gt;0,'Calculation Constants'!$B$9*Hydraulics!$K142^2/2/9.81/MAX($F$4:$F$253)*$H142,"")</f>
        <v>3.5282785359788842E-2</v>
      </c>
      <c r="AP142" s="19">
        <f t="shared" si="78"/>
        <v>0.7920494006783354</v>
      </c>
      <c r="AQ142" s="19">
        <f t="shared" si="68"/>
        <v>0</v>
      </c>
      <c r="AR142" s="19">
        <f t="shared" si="79"/>
        <v>164.08918270640129</v>
      </c>
      <c r="AS142" s="23">
        <f t="shared" si="69"/>
        <v>1169.7151827064013</v>
      </c>
    </row>
    <row r="143" spans="5:45">
      <c r="E143" s="35" t="str">
        <f t="shared" si="55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0"/>
        <v>2</v>
      </c>
      <c r="I143" s="19">
        <v>2.2000000000000002</v>
      </c>
      <c r="J143" s="36">
        <f>'Flow Rate Calculations'!$B$7</f>
        <v>4.0831050228310497</v>
      </c>
      <c r="K143" s="36">
        <f t="shared" si="70"/>
        <v>1.0741261942924094</v>
      </c>
      <c r="L143" s="37">
        <f>$I143*$K143/'Calculation Constants'!$B$7</f>
        <v>2091219.139330355</v>
      </c>
      <c r="M143" s="37" t="str">
        <f t="shared" si="56"/>
        <v>Greater Dynamic Pressures</v>
      </c>
      <c r="N143" s="23">
        <f t="shared" si="71"/>
        <v>209.56704529873673</v>
      </c>
      <c r="O143" s="56">
        <f t="shared" si="57"/>
        <v>201.96938412964323</v>
      </c>
      <c r="P143" s="65">
        <f>MAX(I143*1000/'Calculation Constants'!$B$14,O143*10*I143*1000/2/('Calculation Constants'!$B$12*1000*'Calculation Constants'!$B$13))</f>
        <v>14.811088169507173</v>
      </c>
      <c r="Q143" s="67">
        <f t="shared" si="58"/>
        <v>1596340.3105141912</v>
      </c>
      <c r="R143" s="27">
        <f>(1/(2*LOG(3.7*$I143/'Calculation Constants'!$B$2*1000)))^2</f>
        <v>8.4679866037394684E-3</v>
      </c>
      <c r="S143" s="19">
        <f t="shared" si="72"/>
        <v>0.45268811177167712</v>
      </c>
      <c r="T143" s="19">
        <f>IF($H143&gt;0,'Calculation Constants'!$B$9*Hydraulics!$K143^2/2/9.81/MAX($F$4:$F$253)*$H143,"")</f>
        <v>3.5282785359788842E-2</v>
      </c>
      <c r="U143" s="19">
        <f t="shared" si="73"/>
        <v>0.48797089713146596</v>
      </c>
      <c r="V143" s="19">
        <f t="shared" si="59"/>
        <v>0</v>
      </c>
      <c r="W143" s="19">
        <f t="shared" si="60"/>
        <v>209.56704529873673</v>
      </c>
      <c r="X143" s="23">
        <f t="shared" si="61"/>
        <v>1211.1900452987368</v>
      </c>
      <c r="Y143" s="22">
        <f>(1/(2*LOG(3.7*$I143/'Calculation Constants'!$B$3*1000)))^2</f>
        <v>9.4904462912918219E-3</v>
      </c>
      <c r="Z143" s="19">
        <f t="shared" si="62"/>
        <v>0.50734754464280807</v>
      </c>
      <c r="AA143" s="19">
        <f>IF($H143&gt;0,'Calculation Constants'!$B$9*Hydraulics!$K143^2/2/9.81/MAX($F$4:$F$253)*$H143,"")</f>
        <v>3.5282785359788842E-2</v>
      </c>
      <c r="AB143" s="19">
        <f t="shared" si="81"/>
        <v>0.54263033000259686</v>
      </c>
      <c r="AC143" s="19">
        <f t="shared" si="63"/>
        <v>0</v>
      </c>
      <c r="AD143" s="19">
        <f t="shared" si="74"/>
        <v>201.96938412964323</v>
      </c>
      <c r="AE143" s="23">
        <f t="shared" si="64"/>
        <v>1203.5923841296433</v>
      </c>
      <c r="AF143" s="27">
        <f>(1/(2*LOG(3.7*$I143/'Calculation Constants'!$B$4*1000)))^2</f>
        <v>1.1152845500629007E-2</v>
      </c>
      <c r="AG143" s="19">
        <f t="shared" si="65"/>
        <v>0.59621735446906032</v>
      </c>
      <c r="AH143" s="19">
        <f>IF($H143&gt;0,'Calculation Constants'!$B$9*Hydraulics!$K143^2/2/9.81/MAX($F$4:$F$253)*$H143,"")</f>
        <v>3.5282785359788842E-2</v>
      </c>
      <c r="AI143" s="19">
        <f t="shared" si="75"/>
        <v>0.63150013982884912</v>
      </c>
      <c r="AJ143" s="19">
        <f t="shared" si="66"/>
        <v>0</v>
      </c>
      <c r="AK143" s="19">
        <f t="shared" si="76"/>
        <v>189.61648056378863</v>
      </c>
      <c r="AL143" s="23">
        <f t="shared" si="67"/>
        <v>1191.2394805637887</v>
      </c>
      <c r="AM143" s="22">
        <f>(1/(2*LOG(3.7*($I143-0.008)/'Calculation Constants'!$B$5*1000)))^2</f>
        <v>1.4104604303736145E-2</v>
      </c>
      <c r="AN143" s="19">
        <f t="shared" si="77"/>
        <v>0.75676661531854661</v>
      </c>
      <c r="AO143" s="19">
        <f>IF($H143&gt;0,'Calculation Constants'!$B$9*Hydraulics!$K143^2/2/9.81/MAX($F$4:$F$253)*$H143,"")</f>
        <v>3.5282785359788842E-2</v>
      </c>
      <c r="AP143" s="19">
        <f t="shared" si="78"/>
        <v>0.7920494006783354</v>
      </c>
      <c r="AQ143" s="19">
        <f t="shared" si="68"/>
        <v>0</v>
      </c>
      <c r="AR143" s="19">
        <f t="shared" si="79"/>
        <v>167.30013330572297</v>
      </c>
      <c r="AS143" s="23">
        <f t="shared" si="69"/>
        <v>1168.923133305723</v>
      </c>
    </row>
    <row r="144" spans="5:45">
      <c r="E144" s="35" t="str">
        <f t="shared" si="55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0"/>
        <v>2</v>
      </c>
      <c r="I144" s="19">
        <v>2.2000000000000002</v>
      </c>
      <c r="J144" s="36">
        <f>'Flow Rate Calculations'!$B$7</f>
        <v>4.0831050228310497</v>
      </c>
      <c r="K144" s="36">
        <f t="shared" si="70"/>
        <v>1.0741261942924094</v>
      </c>
      <c r="L144" s="37">
        <f>$I144*$K144/'Calculation Constants'!$B$7</f>
        <v>2091219.139330355</v>
      </c>
      <c r="M144" s="37" t="str">
        <f t="shared" si="56"/>
        <v>Greater Dynamic Pressures</v>
      </c>
      <c r="N144" s="23">
        <f t="shared" si="71"/>
        <v>206.65007440160537</v>
      </c>
      <c r="O144" s="56">
        <f t="shared" si="57"/>
        <v>198.99775379964069</v>
      </c>
      <c r="P144" s="65">
        <f>MAX(I144*1000/'Calculation Constants'!$B$14,O144*10*I144*1000/2/('Calculation Constants'!$B$12*1000*'Calculation Constants'!$B$13))</f>
        <v>14.593168611973651</v>
      </c>
      <c r="Q144" s="67">
        <f t="shared" si="58"/>
        <v>1573009.776445664</v>
      </c>
      <c r="R144" s="27">
        <f>(1/(2*LOG(3.7*$I144/'Calculation Constants'!$B$2*1000)))^2</f>
        <v>8.4679866037394684E-3</v>
      </c>
      <c r="S144" s="19">
        <f t="shared" si="72"/>
        <v>0.45268811177167712</v>
      </c>
      <c r="T144" s="19">
        <f>IF($H144&gt;0,'Calculation Constants'!$B$9*Hydraulics!$K144^2/2/9.81/MAX($F$4:$F$253)*$H144,"")</f>
        <v>3.5282785359788842E-2</v>
      </c>
      <c r="U144" s="19">
        <f t="shared" si="73"/>
        <v>0.48797089713146596</v>
      </c>
      <c r="V144" s="19">
        <f t="shared" si="59"/>
        <v>0</v>
      </c>
      <c r="W144" s="19">
        <f t="shared" si="60"/>
        <v>206.65007440160537</v>
      </c>
      <c r="X144" s="23">
        <f t="shared" si="61"/>
        <v>1210.7020744016054</v>
      </c>
      <c r="Y144" s="22">
        <f>(1/(2*LOG(3.7*$I144/'Calculation Constants'!$B$3*1000)))^2</f>
        <v>9.4904462912918219E-3</v>
      </c>
      <c r="Z144" s="19">
        <f t="shared" si="62"/>
        <v>0.50734754464280807</v>
      </c>
      <c r="AA144" s="19">
        <f>IF($H144&gt;0,'Calculation Constants'!$B$9*Hydraulics!$K144^2/2/9.81/MAX($F$4:$F$253)*$H144,"")</f>
        <v>3.5282785359788842E-2</v>
      </c>
      <c r="AB144" s="19">
        <f t="shared" si="81"/>
        <v>0.54263033000259686</v>
      </c>
      <c r="AC144" s="19">
        <f t="shared" si="63"/>
        <v>0</v>
      </c>
      <c r="AD144" s="19">
        <f t="shared" si="74"/>
        <v>198.99775379964069</v>
      </c>
      <c r="AE144" s="23">
        <f t="shared" si="64"/>
        <v>1203.0497537996407</v>
      </c>
      <c r="AF144" s="27">
        <f>(1/(2*LOG(3.7*$I144/'Calculation Constants'!$B$4*1000)))^2</f>
        <v>1.1152845500629007E-2</v>
      </c>
      <c r="AG144" s="19">
        <f t="shared" si="65"/>
        <v>0.59621735446906032</v>
      </c>
      <c r="AH144" s="19">
        <f>IF($H144&gt;0,'Calculation Constants'!$B$9*Hydraulics!$K144^2/2/9.81/MAX($F$4:$F$253)*$H144,"")</f>
        <v>3.5282785359788842E-2</v>
      </c>
      <c r="AI144" s="19">
        <f t="shared" si="75"/>
        <v>0.63150013982884912</v>
      </c>
      <c r="AJ144" s="19">
        <f t="shared" si="66"/>
        <v>0</v>
      </c>
      <c r="AK144" s="19">
        <f t="shared" si="76"/>
        <v>186.5559804239598</v>
      </c>
      <c r="AL144" s="23">
        <f t="shared" si="67"/>
        <v>1190.6079804239598</v>
      </c>
      <c r="AM144" s="22">
        <f>(1/(2*LOG(3.7*($I144-0.008)/'Calculation Constants'!$B$5*1000)))^2</f>
        <v>1.4104604303736145E-2</v>
      </c>
      <c r="AN144" s="19">
        <f t="shared" si="77"/>
        <v>0.75676661531854661</v>
      </c>
      <c r="AO144" s="19">
        <f>IF($H144&gt;0,'Calculation Constants'!$B$9*Hydraulics!$K144^2/2/9.81/MAX($F$4:$F$253)*$H144,"")</f>
        <v>3.5282785359788842E-2</v>
      </c>
      <c r="AP144" s="19">
        <f t="shared" si="78"/>
        <v>0.7920494006783354</v>
      </c>
      <c r="AQ144" s="19">
        <f t="shared" si="68"/>
        <v>0</v>
      </c>
      <c r="AR144" s="19">
        <f t="shared" si="79"/>
        <v>164.07908390504474</v>
      </c>
      <c r="AS144" s="23">
        <f t="shared" si="69"/>
        <v>1168.1310839050448</v>
      </c>
    </row>
    <row r="145" spans="5:45">
      <c r="E145" s="35" t="str">
        <f t="shared" si="55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0"/>
        <v>2</v>
      </c>
      <c r="I145" s="19">
        <v>2.2000000000000002</v>
      </c>
      <c r="J145" s="36">
        <f>'Flow Rate Calculations'!$B$7</f>
        <v>4.0831050228310497</v>
      </c>
      <c r="K145" s="36">
        <f t="shared" si="70"/>
        <v>1.0741261942924094</v>
      </c>
      <c r="L145" s="37">
        <f>$I145*$K145/'Calculation Constants'!$B$7</f>
        <v>2091219.139330355</v>
      </c>
      <c r="M145" s="37" t="str">
        <f t="shared" si="56"/>
        <v>Greater Dynamic Pressures</v>
      </c>
      <c r="N145" s="23">
        <f t="shared" si="71"/>
        <v>199.41710350447397</v>
      </c>
      <c r="O145" s="56">
        <f t="shared" si="57"/>
        <v>191.71012346963812</v>
      </c>
      <c r="P145" s="65">
        <f>MAX(I145*1000/'Calculation Constants'!$B$14,O145*10*I145*1000/2/('Calculation Constants'!$B$12*1000*'Calculation Constants'!$B$13))</f>
        <v>14.058742387773464</v>
      </c>
      <c r="Q145" s="67">
        <f t="shared" si="58"/>
        <v>1515774.1109742129</v>
      </c>
      <c r="R145" s="27">
        <f>(1/(2*LOG(3.7*$I145/'Calculation Constants'!$B$2*1000)))^2</f>
        <v>8.4679866037394684E-3</v>
      </c>
      <c r="S145" s="19">
        <f t="shared" si="72"/>
        <v>0.45268811177167712</v>
      </c>
      <c r="T145" s="19">
        <f>IF($H145&gt;0,'Calculation Constants'!$B$9*Hydraulics!$K145^2/2/9.81/MAX($F$4:$F$253)*$H145,"")</f>
        <v>3.5282785359788842E-2</v>
      </c>
      <c r="U145" s="19">
        <f t="shared" si="73"/>
        <v>0.48797089713146596</v>
      </c>
      <c r="V145" s="19">
        <f t="shared" si="59"/>
        <v>0</v>
      </c>
      <c r="W145" s="19">
        <f t="shared" si="60"/>
        <v>199.41710350447397</v>
      </c>
      <c r="X145" s="23">
        <f t="shared" si="61"/>
        <v>1210.214103504474</v>
      </c>
      <c r="Y145" s="22">
        <f>(1/(2*LOG(3.7*$I145/'Calculation Constants'!$B$3*1000)))^2</f>
        <v>9.4904462912918219E-3</v>
      </c>
      <c r="Z145" s="19">
        <f t="shared" si="62"/>
        <v>0.50734754464280807</v>
      </c>
      <c r="AA145" s="19">
        <f>IF($H145&gt;0,'Calculation Constants'!$B$9*Hydraulics!$K145^2/2/9.81/MAX($F$4:$F$253)*$H145,"")</f>
        <v>3.5282785359788842E-2</v>
      </c>
      <c r="AB145" s="19">
        <f t="shared" si="81"/>
        <v>0.54263033000259686</v>
      </c>
      <c r="AC145" s="19">
        <f t="shared" si="63"/>
        <v>0</v>
      </c>
      <c r="AD145" s="19">
        <f t="shared" si="74"/>
        <v>191.71012346963812</v>
      </c>
      <c r="AE145" s="23">
        <f t="shared" si="64"/>
        <v>1202.5071234696381</v>
      </c>
      <c r="AF145" s="27">
        <f>(1/(2*LOG(3.7*$I145/'Calculation Constants'!$B$4*1000)))^2</f>
        <v>1.1152845500629007E-2</v>
      </c>
      <c r="AG145" s="19">
        <f t="shared" si="65"/>
        <v>0.59621735446906032</v>
      </c>
      <c r="AH145" s="19">
        <f>IF($H145&gt;0,'Calculation Constants'!$B$9*Hydraulics!$K145^2/2/9.81/MAX($F$4:$F$253)*$H145,"")</f>
        <v>3.5282785359788842E-2</v>
      </c>
      <c r="AI145" s="19">
        <f t="shared" si="75"/>
        <v>0.63150013982884912</v>
      </c>
      <c r="AJ145" s="19">
        <f t="shared" si="66"/>
        <v>0</v>
      </c>
      <c r="AK145" s="19">
        <f t="shared" si="76"/>
        <v>179.17948028413093</v>
      </c>
      <c r="AL145" s="23">
        <f t="shared" si="67"/>
        <v>1189.976480284131</v>
      </c>
      <c r="AM145" s="22">
        <f>(1/(2*LOG(3.7*($I145-0.008)/'Calculation Constants'!$B$5*1000)))^2</f>
        <v>1.4104604303736145E-2</v>
      </c>
      <c r="AN145" s="19">
        <f t="shared" si="77"/>
        <v>0.75676661531854661</v>
      </c>
      <c r="AO145" s="19">
        <f>IF($H145&gt;0,'Calculation Constants'!$B$9*Hydraulics!$K145^2/2/9.81/MAX($F$4:$F$253)*$H145,"")</f>
        <v>3.5282785359788842E-2</v>
      </c>
      <c r="AP145" s="19">
        <f t="shared" si="78"/>
        <v>0.7920494006783354</v>
      </c>
      <c r="AQ145" s="19">
        <f t="shared" si="68"/>
        <v>0</v>
      </c>
      <c r="AR145" s="19">
        <f t="shared" si="79"/>
        <v>156.54203450436648</v>
      </c>
      <c r="AS145" s="23">
        <f t="shared" si="69"/>
        <v>1167.3390345043665</v>
      </c>
    </row>
    <row r="146" spans="5:45">
      <c r="E146" s="35" t="str">
        <f t="shared" si="55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0"/>
        <v>2</v>
      </c>
      <c r="I146" s="19">
        <v>2.2000000000000002</v>
      </c>
      <c r="J146" s="36">
        <f>'Flow Rate Calculations'!$B$7</f>
        <v>4.0831050228310497</v>
      </c>
      <c r="K146" s="36">
        <f t="shared" si="70"/>
        <v>1.0741261942924094</v>
      </c>
      <c r="L146" s="37">
        <f>$I146*$K146/'Calculation Constants'!$B$7</f>
        <v>2091219.139330355</v>
      </c>
      <c r="M146" s="37" t="str">
        <f t="shared" si="56"/>
        <v>Greater Dynamic Pressures</v>
      </c>
      <c r="N146" s="23">
        <f t="shared" si="71"/>
        <v>195.05613260734265</v>
      </c>
      <c r="O146" s="56">
        <f t="shared" si="57"/>
        <v>187.29449313963562</v>
      </c>
      <c r="P146" s="65">
        <f>MAX(I146*1000/'Calculation Constants'!$B$14,O146*10*I146*1000/2/('Calculation Constants'!$B$12*1000*'Calculation Constants'!$B$13))</f>
        <v>13.75</v>
      </c>
      <c r="Q146" s="67">
        <f t="shared" si="58"/>
        <v>1482695.7604373412</v>
      </c>
      <c r="R146" s="27">
        <f>(1/(2*LOG(3.7*$I146/'Calculation Constants'!$B$2*1000)))^2</f>
        <v>8.4679866037394684E-3</v>
      </c>
      <c r="S146" s="19">
        <f t="shared" si="72"/>
        <v>0.45268811177167712</v>
      </c>
      <c r="T146" s="19">
        <f>IF($H146&gt;0,'Calculation Constants'!$B$9*Hydraulics!$K146^2/2/9.81/MAX($F$4:$F$253)*$H146,"")</f>
        <v>3.5282785359788842E-2</v>
      </c>
      <c r="U146" s="19">
        <f t="shared" si="73"/>
        <v>0.48797089713146596</v>
      </c>
      <c r="V146" s="19">
        <f t="shared" si="59"/>
        <v>0</v>
      </c>
      <c r="W146" s="19">
        <f t="shared" si="60"/>
        <v>195.05613260734265</v>
      </c>
      <c r="X146" s="23">
        <f t="shared" si="61"/>
        <v>1209.7261326073426</v>
      </c>
      <c r="Y146" s="22">
        <f>(1/(2*LOG(3.7*$I146/'Calculation Constants'!$B$3*1000)))^2</f>
        <v>9.4904462912918219E-3</v>
      </c>
      <c r="Z146" s="19">
        <f t="shared" si="62"/>
        <v>0.50734754464280807</v>
      </c>
      <c r="AA146" s="19">
        <f>IF($H146&gt;0,'Calculation Constants'!$B$9*Hydraulics!$K146^2/2/9.81/MAX($F$4:$F$253)*$H146,"")</f>
        <v>3.5282785359788842E-2</v>
      </c>
      <c r="AB146" s="19">
        <f t="shared" si="81"/>
        <v>0.54263033000259686</v>
      </c>
      <c r="AC146" s="19">
        <f t="shared" si="63"/>
        <v>0</v>
      </c>
      <c r="AD146" s="19">
        <f t="shared" si="74"/>
        <v>187.29449313963562</v>
      </c>
      <c r="AE146" s="23">
        <f t="shared" si="64"/>
        <v>1201.9644931396356</v>
      </c>
      <c r="AF146" s="27">
        <f>(1/(2*LOG(3.7*$I146/'Calculation Constants'!$B$4*1000)))^2</f>
        <v>1.1152845500629007E-2</v>
      </c>
      <c r="AG146" s="19">
        <f t="shared" si="65"/>
        <v>0.59621735446906032</v>
      </c>
      <c r="AH146" s="19">
        <f>IF($H146&gt;0,'Calculation Constants'!$B$9*Hydraulics!$K146^2/2/9.81/MAX($F$4:$F$253)*$H146,"")</f>
        <v>3.5282785359788842E-2</v>
      </c>
      <c r="AI146" s="19">
        <f t="shared" si="75"/>
        <v>0.63150013982884912</v>
      </c>
      <c r="AJ146" s="19">
        <f t="shared" si="66"/>
        <v>0</v>
      </c>
      <c r="AK146" s="19">
        <f t="shared" si="76"/>
        <v>174.67498014430214</v>
      </c>
      <c r="AL146" s="23">
        <f t="shared" si="67"/>
        <v>1189.3449801443021</v>
      </c>
      <c r="AM146" s="22">
        <f>(1/(2*LOG(3.7*($I146-0.008)/'Calculation Constants'!$B$5*1000)))^2</f>
        <v>1.4104604303736145E-2</v>
      </c>
      <c r="AN146" s="19">
        <f t="shared" si="77"/>
        <v>0.75676661531854661</v>
      </c>
      <c r="AO146" s="19">
        <f>IF($H146&gt;0,'Calculation Constants'!$B$9*Hydraulics!$K146^2/2/9.81/MAX($F$4:$F$253)*$H146,"")</f>
        <v>3.5282785359788842E-2</v>
      </c>
      <c r="AP146" s="19">
        <f t="shared" si="78"/>
        <v>0.7920494006783354</v>
      </c>
      <c r="AQ146" s="19">
        <f t="shared" si="68"/>
        <v>0</v>
      </c>
      <c r="AR146" s="19">
        <f t="shared" si="79"/>
        <v>151.8769851036883</v>
      </c>
      <c r="AS146" s="23">
        <f t="shared" si="69"/>
        <v>1166.5469851036883</v>
      </c>
    </row>
    <row r="147" spans="5:45">
      <c r="E147" s="35" t="str">
        <f t="shared" si="55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0"/>
        <v>2</v>
      </c>
      <c r="I147" s="19">
        <v>2.2000000000000002</v>
      </c>
      <c r="J147" s="36">
        <f>'Flow Rate Calculations'!$B$7</f>
        <v>4.0831050228310497</v>
      </c>
      <c r="K147" s="36">
        <f t="shared" si="70"/>
        <v>1.0741261942924094</v>
      </c>
      <c r="L147" s="37">
        <f>$I147*$K147/'Calculation Constants'!$B$7</f>
        <v>2091219.139330355</v>
      </c>
      <c r="M147" s="37" t="str">
        <f t="shared" si="56"/>
        <v>Greater Dynamic Pressures</v>
      </c>
      <c r="N147" s="23">
        <f t="shared" si="71"/>
        <v>191.91916171021126</v>
      </c>
      <c r="O147" s="56">
        <f t="shared" si="57"/>
        <v>184.10286280963305</v>
      </c>
      <c r="P147" s="65">
        <f>MAX(I147*1000/'Calculation Constants'!$B$14,O147*10*I147*1000/2/('Calculation Constants'!$B$12*1000*'Calculation Constants'!$B$13))</f>
        <v>13.75</v>
      </c>
      <c r="Q147" s="67">
        <f t="shared" si="58"/>
        <v>1482695.7604373412</v>
      </c>
      <c r="R147" s="27">
        <f>(1/(2*LOG(3.7*$I147/'Calculation Constants'!$B$2*1000)))^2</f>
        <v>8.4679866037394684E-3</v>
      </c>
      <c r="S147" s="19">
        <f t="shared" si="72"/>
        <v>0.45268811177167712</v>
      </c>
      <c r="T147" s="19">
        <f>IF($H147&gt;0,'Calculation Constants'!$B$9*Hydraulics!$K147^2/2/9.81/MAX($F$4:$F$253)*$H147,"")</f>
        <v>3.5282785359788842E-2</v>
      </c>
      <c r="U147" s="19">
        <f t="shared" si="73"/>
        <v>0.48797089713146596</v>
      </c>
      <c r="V147" s="19">
        <f t="shared" si="59"/>
        <v>0</v>
      </c>
      <c r="W147" s="19">
        <f t="shared" si="60"/>
        <v>191.91916171021126</v>
      </c>
      <c r="X147" s="23">
        <f t="shared" si="61"/>
        <v>1209.2381617102112</v>
      </c>
      <c r="Y147" s="22">
        <f>(1/(2*LOG(3.7*$I147/'Calculation Constants'!$B$3*1000)))^2</f>
        <v>9.4904462912918219E-3</v>
      </c>
      <c r="Z147" s="19">
        <f t="shared" si="62"/>
        <v>0.50734754464280807</v>
      </c>
      <c r="AA147" s="19">
        <f>IF($H147&gt;0,'Calculation Constants'!$B$9*Hydraulics!$K147^2/2/9.81/MAX($F$4:$F$253)*$H147,"")</f>
        <v>3.5282785359788842E-2</v>
      </c>
      <c r="AB147" s="19">
        <f t="shared" si="81"/>
        <v>0.54263033000259686</v>
      </c>
      <c r="AC147" s="19">
        <f t="shared" si="63"/>
        <v>0</v>
      </c>
      <c r="AD147" s="19">
        <f t="shared" si="74"/>
        <v>184.10286280963305</v>
      </c>
      <c r="AE147" s="23">
        <f t="shared" si="64"/>
        <v>1201.421862809633</v>
      </c>
      <c r="AF147" s="27">
        <f>(1/(2*LOG(3.7*$I147/'Calculation Constants'!$B$4*1000)))^2</f>
        <v>1.1152845500629007E-2</v>
      </c>
      <c r="AG147" s="19">
        <f t="shared" si="65"/>
        <v>0.59621735446906032</v>
      </c>
      <c r="AH147" s="19">
        <f>IF($H147&gt;0,'Calculation Constants'!$B$9*Hydraulics!$K147^2/2/9.81/MAX($F$4:$F$253)*$H147,"")</f>
        <v>3.5282785359788842E-2</v>
      </c>
      <c r="AI147" s="19">
        <f t="shared" si="75"/>
        <v>0.63150013982884912</v>
      </c>
      <c r="AJ147" s="19">
        <f t="shared" si="66"/>
        <v>0</v>
      </c>
      <c r="AK147" s="19">
        <f t="shared" si="76"/>
        <v>171.39448000447328</v>
      </c>
      <c r="AL147" s="23">
        <f t="shared" si="67"/>
        <v>1188.7134800044732</v>
      </c>
      <c r="AM147" s="22">
        <f>(1/(2*LOG(3.7*($I147-0.008)/'Calculation Constants'!$B$5*1000)))^2</f>
        <v>1.4104604303736145E-2</v>
      </c>
      <c r="AN147" s="19">
        <f t="shared" si="77"/>
        <v>0.75676661531854661</v>
      </c>
      <c r="AO147" s="19">
        <f>IF($H147&gt;0,'Calculation Constants'!$B$9*Hydraulics!$K147^2/2/9.81/MAX($F$4:$F$253)*$H147,"")</f>
        <v>3.5282785359788842E-2</v>
      </c>
      <c r="AP147" s="19">
        <f t="shared" si="78"/>
        <v>0.7920494006783354</v>
      </c>
      <c r="AQ147" s="19">
        <f t="shared" si="68"/>
        <v>0</v>
      </c>
      <c r="AR147" s="19">
        <f t="shared" si="79"/>
        <v>148.43593570301005</v>
      </c>
      <c r="AS147" s="23">
        <f t="shared" si="69"/>
        <v>1165.75493570301</v>
      </c>
    </row>
    <row r="148" spans="5:45">
      <c r="E148" s="35" t="str">
        <f t="shared" si="55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0"/>
        <v>2</v>
      </c>
      <c r="I148" s="19">
        <v>2.2000000000000002</v>
      </c>
      <c r="J148" s="36">
        <f>'Flow Rate Calculations'!$B$7</f>
        <v>4.0831050228310497</v>
      </c>
      <c r="K148" s="36">
        <f t="shared" si="70"/>
        <v>1.0741261942924094</v>
      </c>
      <c r="L148" s="37">
        <f>$I148*$K148/'Calculation Constants'!$B$7</f>
        <v>2091219.139330355</v>
      </c>
      <c r="M148" s="37" t="str">
        <f t="shared" si="56"/>
        <v>Greater Dynamic Pressures</v>
      </c>
      <c r="N148" s="23">
        <f t="shared" si="71"/>
        <v>181.29119081307977</v>
      </c>
      <c r="O148" s="56">
        <f t="shared" si="57"/>
        <v>173.42023247963039</v>
      </c>
      <c r="P148" s="65">
        <f>MAX(I148*1000/'Calculation Constants'!$B$14,O148*10*I148*1000/2/('Calculation Constants'!$B$12*1000*'Calculation Constants'!$B$13))</f>
        <v>13.75</v>
      </c>
      <c r="Q148" s="67">
        <f t="shared" si="58"/>
        <v>1482695.7604373412</v>
      </c>
      <c r="R148" s="27">
        <f>(1/(2*LOG(3.7*$I148/'Calculation Constants'!$B$2*1000)))^2</f>
        <v>8.4679866037394684E-3</v>
      </c>
      <c r="S148" s="19">
        <f t="shared" si="72"/>
        <v>0.45268811177167712</v>
      </c>
      <c r="T148" s="19">
        <f>IF($H148&gt;0,'Calculation Constants'!$B$9*Hydraulics!$K148^2/2/9.81/MAX($F$4:$F$253)*$H148,"")</f>
        <v>3.5282785359788842E-2</v>
      </c>
      <c r="U148" s="19">
        <f t="shared" si="73"/>
        <v>0.48797089713146596</v>
      </c>
      <c r="V148" s="19">
        <f t="shared" si="59"/>
        <v>0</v>
      </c>
      <c r="W148" s="19">
        <f t="shared" si="60"/>
        <v>181.29119081307977</v>
      </c>
      <c r="X148" s="23">
        <f t="shared" si="61"/>
        <v>1208.7501908130798</v>
      </c>
      <c r="Y148" s="22">
        <f>(1/(2*LOG(3.7*$I148/'Calculation Constants'!$B$3*1000)))^2</f>
        <v>9.4904462912918219E-3</v>
      </c>
      <c r="Z148" s="19">
        <f t="shared" si="62"/>
        <v>0.50734754464280807</v>
      </c>
      <c r="AA148" s="19">
        <f>IF($H148&gt;0,'Calculation Constants'!$B$9*Hydraulics!$K148^2/2/9.81/MAX($F$4:$F$253)*$H148,"")</f>
        <v>3.5282785359788842E-2</v>
      </c>
      <c r="AB148" s="19">
        <f t="shared" si="81"/>
        <v>0.54263033000259686</v>
      </c>
      <c r="AC148" s="19">
        <f t="shared" si="63"/>
        <v>0</v>
      </c>
      <c r="AD148" s="19">
        <f t="shared" si="74"/>
        <v>173.42023247963039</v>
      </c>
      <c r="AE148" s="23">
        <f t="shared" si="64"/>
        <v>1200.8792324796304</v>
      </c>
      <c r="AF148" s="27">
        <f>(1/(2*LOG(3.7*$I148/'Calculation Constants'!$B$4*1000)))^2</f>
        <v>1.1152845500629007E-2</v>
      </c>
      <c r="AG148" s="19">
        <f t="shared" si="65"/>
        <v>0.59621735446906032</v>
      </c>
      <c r="AH148" s="19">
        <f>IF($H148&gt;0,'Calculation Constants'!$B$9*Hydraulics!$K148^2/2/9.81/MAX($F$4:$F$253)*$H148,"")</f>
        <v>3.5282785359788842E-2</v>
      </c>
      <c r="AI148" s="19">
        <f t="shared" si="75"/>
        <v>0.63150013982884912</v>
      </c>
      <c r="AJ148" s="19">
        <f t="shared" si="66"/>
        <v>0</v>
      </c>
      <c r="AK148" s="19">
        <f t="shared" si="76"/>
        <v>160.62297986464432</v>
      </c>
      <c r="AL148" s="23">
        <f t="shared" si="67"/>
        <v>1188.0819798646444</v>
      </c>
      <c r="AM148" s="22">
        <f>(1/(2*LOG(3.7*($I148-0.008)/'Calculation Constants'!$B$5*1000)))^2</f>
        <v>1.4104604303736145E-2</v>
      </c>
      <c r="AN148" s="19">
        <f t="shared" si="77"/>
        <v>0.75676661531854661</v>
      </c>
      <c r="AO148" s="19">
        <f>IF($H148&gt;0,'Calculation Constants'!$B$9*Hydraulics!$K148^2/2/9.81/MAX($F$4:$F$253)*$H148,"")</f>
        <v>3.5282785359788842E-2</v>
      </c>
      <c r="AP148" s="19">
        <f t="shared" si="78"/>
        <v>0.7920494006783354</v>
      </c>
      <c r="AQ148" s="19">
        <f t="shared" si="68"/>
        <v>0</v>
      </c>
      <c r="AR148" s="19">
        <f t="shared" si="79"/>
        <v>137.50388630233169</v>
      </c>
      <c r="AS148" s="23">
        <f t="shared" si="69"/>
        <v>1164.9628863023318</v>
      </c>
    </row>
    <row r="149" spans="5:45">
      <c r="E149" s="35" t="str">
        <f t="shared" si="55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0"/>
        <v>2</v>
      </c>
      <c r="I149" s="19">
        <v>2.2000000000000002</v>
      </c>
      <c r="J149" s="36">
        <f>'Flow Rate Calculations'!$B$7</f>
        <v>4.0831050228310497</v>
      </c>
      <c r="K149" s="36">
        <f t="shared" si="70"/>
        <v>1.0741261942924094</v>
      </c>
      <c r="L149" s="37">
        <f>$I149*$K149/'Calculation Constants'!$B$7</f>
        <v>2091219.139330355</v>
      </c>
      <c r="M149" s="37" t="str">
        <f t="shared" si="56"/>
        <v>Greater Dynamic Pressures</v>
      </c>
      <c r="N149" s="23">
        <f t="shared" si="71"/>
        <v>176.27221991594843</v>
      </c>
      <c r="O149" s="56">
        <f t="shared" si="57"/>
        <v>168.34660214962787</v>
      </c>
      <c r="P149" s="65">
        <f>MAX(I149*1000/'Calculation Constants'!$B$14,O149*10*I149*1000/2/('Calculation Constants'!$B$12*1000*'Calculation Constants'!$B$13))</f>
        <v>13.75</v>
      </c>
      <c r="Q149" s="67">
        <f t="shared" si="58"/>
        <v>1482695.7604373412</v>
      </c>
      <c r="R149" s="27">
        <f>(1/(2*LOG(3.7*$I149/'Calculation Constants'!$B$2*1000)))^2</f>
        <v>8.4679866037394684E-3</v>
      </c>
      <c r="S149" s="19">
        <f t="shared" si="72"/>
        <v>0.45268811177167712</v>
      </c>
      <c r="T149" s="19">
        <f>IF($H149&gt;0,'Calculation Constants'!$B$9*Hydraulics!$K149^2/2/9.81/MAX($F$4:$F$253)*$H149,"")</f>
        <v>3.5282785359788842E-2</v>
      </c>
      <c r="U149" s="19">
        <f t="shared" si="73"/>
        <v>0.48797089713146596</v>
      </c>
      <c r="V149" s="19">
        <f t="shared" si="59"/>
        <v>0</v>
      </c>
      <c r="W149" s="19">
        <f t="shared" si="60"/>
        <v>176.27221991594843</v>
      </c>
      <c r="X149" s="23">
        <f t="shared" si="61"/>
        <v>1208.2622199159484</v>
      </c>
      <c r="Y149" s="22">
        <f>(1/(2*LOG(3.7*$I149/'Calculation Constants'!$B$3*1000)))^2</f>
        <v>9.4904462912918219E-3</v>
      </c>
      <c r="Z149" s="19">
        <f t="shared" si="62"/>
        <v>0.50734754464280807</v>
      </c>
      <c r="AA149" s="19">
        <f>IF($H149&gt;0,'Calculation Constants'!$B$9*Hydraulics!$K149^2/2/9.81/MAX($F$4:$F$253)*$H149,"")</f>
        <v>3.5282785359788842E-2</v>
      </c>
      <c r="AB149" s="19">
        <f t="shared" si="81"/>
        <v>0.54263033000259686</v>
      </c>
      <c r="AC149" s="19">
        <f t="shared" si="63"/>
        <v>0</v>
      </c>
      <c r="AD149" s="19">
        <f t="shared" si="74"/>
        <v>168.34660214962787</v>
      </c>
      <c r="AE149" s="23">
        <f t="shared" si="64"/>
        <v>1200.3366021496279</v>
      </c>
      <c r="AF149" s="27">
        <f>(1/(2*LOG(3.7*$I149/'Calculation Constants'!$B$4*1000)))^2</f>
        <v>1.1152845500629007E-2</v>
      </c>
      <c r="AG149" s="19">
        <f t="shared" si="65"/>
        <v>0.59621735446906032</v>
      </c>
      <c r="AH149" s="19">
        <f>IF($H149&gt;0,'Calculation Constants'!$B$9*Hydraulics!$K149^2/2/9.81/MAX($F$4:$F$253)*$H149,"")</f>
        <v>3.5282785359788842E-2</v>
      </c>
      <c r="AI149" s="19">
        <f t="shared" si="75"/>
        <v>0.63150013982884912</v>
      </c>
      <c r="AJ149" s="19">
        <f t="shared" si="66"/>
        <v>0</v>
      </c>
      <c r="AK149" s="19">
        <f t="shared" si="76"/>
        <v>155.46047972481551</v>
      </c>
      <c r="AL149" s="23">
        <f t="shared" si="67"/>
        <v>1187.4504797248155</v>
      </c>
      <c r="AM149" s="22">
        <f>(1/(2*LOG(3.7*($I149-0.008)/'Calculation Constants'!$B$5*1000)))^2</f>
        <v>1.4104604303736145E-2</v>
      </c>
      <c r="AN149" s="19">
        <f t="shared" si="77"/>
        <v>0.75676661531854661</v>
      </c>
      <c r="AO149" s="19">
        <f>IF($H149&gt;0,'Calculation Constants'!$B$9*Hydraulics!$K149^2/2/9.81/MAX($F$4:$F$253)*$H149,"")</f>
        <v>3.5282785359788842E-2</v>
      </c>
      <c r="AP149" s="19">
        <f t="shared" si="78"/>
        <v>0.7920494006783354</v>
      </c>
      <c r="AQ149" s="19">
        <f t="shared" si="68"/>
        <v>0</v>
      </c>
      <c r="AR149" s="19">
        <f t="shared" si="79"/>
        <v>132.18083690165349</v>
      </c>
      <c r="AS149" s="23">
        <f t="shared" si="69"/>
        <v>1164.1708369016535</v>
      </c>
    </row>
    <row r="150" spans="5:45">
      <c r="E150" s="35" t="str">
        <f t="shared" si="55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0"/>
        <v>2</v>
      </c>
      <c r="I150" s="19">
        <v>2.2000000000000002</v>
      </c>
      <c r="J150" s="36">
        <f>'Flow Rate Calculations'!$B$7</f>
        <v>4.0831050228310497</v>
      </c>
      <c r="K150" s="36">
        <f t="shared" si="70"/>
        <v>1.0741261942924094</v>
      </c>
      <c r="L150" s="37">
        <f>$I150*$K150/'Calculation Constants'!$B$7</f>
        <v>2091219.139330355</v>
      </c>
      <c r="M150" s="37" t="str">
        <f t="shared" si="56"/>
        <v>Greater Dynamic Pressures</v>
      </c>
      <c r="N150" s="23">
        <f t="shared" si="71"/>
        <v>171.52024901881714</v>
      </c>
      <c r="O150" s="56">
        <f t="shared" si="57"/>
        <v>163.53997181962541</v>
      </c>
      <c r="P150" s="65">
        <f>MAX(I150*1000/'Calculation Constants'!$B$14,O150*10*I150*1000/2/('Calculation Constants'!$B$12*1000*'Calculation Constants'!$B$13))</f>
        <v>13.75</v>
      </c>
      <c r="Q150" s="67">
        <f t="shared" si="58"/>
        <v>1482695.7604373412</v>
      </c>
      <c r="R150" s="27">
        <f>(1/(2*LOG(3.7*$I150/'Calculation Constants'!$B$2*1000)))^2</f>
        <v>8.4679866037394684E-3</v>
      </c>
      <c r="S150" s="19">
        <f t="shared" si="72"/>
        <v>0.45268811177167712</v>
      </c>
      <c r="T150" s="19">
        <f>IF($H150&gt;0,'Calculation Constants'!$B$9*Hydraulics!$K150^2/2/9.81/MAX($F$4:$F$253)*$H150,"")</f>
        <v>3.5282785359788842E-2</v>
      </c>
      <c r="U150" s="19">
        <f t="shared" si="73"/>
        <v>0.48797089713146596</v>
      </c>
      <c r="V150" s="19">
        <f t="shared" si="59"/>
        <v>0</v>
      </c>
      <c r="W150" s="19">
        <f t="shared" si="60"/>
        <v>171.52024901881714</v>
      </c>
      <c r="X150" s="23">
        <f t="shared" si="61"/>
        <v>1207.774249018817</v>
      </c>
      <c r="Y150" s="22">
        <f>(1/(2*LOG(3.7*$I150/'Calculation Constants'!$B$3*1000)))^2</f>
        <v>9.4904462912918219E-3</v>
      </c>
      <c r="Z150" s="19">
        <f t="shared" si="62"/>
        <v>0.50734754464280807</v>
      </c>
      <c r="AA150" s="19">
        <f>IF($H150&gt;0,'Calculation Constants'!$B$9*Hydraulics!$K150^2/2/9.81/MAX($F$4:$F$253)*$H150,"")</f>
        <v>3.5282785359788842E-2</v>
      </c>
      <c r="AB150" s="19">
        <f t="shared" si="81"/>
        <v>0.54263033000259686</v>
      </c>
      <c r="AC150" s="19">
        <f t="shared" si="63"/>
        <v>0</v>
      </c>
      <c r="AD150" s="19">
        <f t="shared" si="74"/>
        <v>163.53997181962541</v>
      </c>
      <c r="AE150" s="23">
        <f t="shared" si="64"/>
        <v>1199.7939718196253</v>
      </c>
      <c r="AF150" s="27">
        <f>(1/(2*LOG(3.7*$I150/'Calculation Constants'!$B$4*1000)))^2</f>
        <v>1.1152845500629007E-2</v>
      </c>
      <c r="AG150" s="19">
        <f t="shared" si="65"/>
        <v>0.59621735446906032</v>
      </c>
      <c r="AH150" s="19">
        <f>IF($H150&gt;0,'Calculation Constants'!$B$9*Hydraulics!$K150^2/2/9.81/MAX($F$4:$F$253)*$H150,"")</f>
        <v>3.5282785359788842E-2</v>
      </c>
      <c r="AI150" s="19">
        <f t="shared" si="75"/>
        <v>0.63150013982884912</v>
      </c>
      <c r="AJ150" s="19">
        <f t="shared" si="66"/>
        <v>0</v>
      </c>
      <c r="AK150" s="19">
        <f t="shared" si="76"/>
        <v>150.56497958498676</v>
      </c>
      <c r="AL150" s="23">
        <f t="shared" si="67"/>
        <v>1186.8189795849867</v>
      </c>
      <c r="AM150" s="22">
        <f>(1/(2*LOG(3.7*($I150-0.008)/'Calculation Constants'!$B$5*1000)))^2</f>
        <v>1.4104604303736145E-2</v>
      </c>
      <c r="AN150" s="19">
        <f t="shared" si="77"/>
        <v>0.75676661531854661</v>
      </c>
      <c r="AO150" s="19">
        <f>IF($H150&gt;0,'Calculation Constants'!$B$9*Hydraulics!$K150^2/2/9.81/MAX($F$4:$F$253)*$H150,"")</f>
        <v>3.5282785359788842E-2</v>
      </c>
      <c r="AP150" s="19">
        <f t="shared" si="78"/>
        <v>0.7920494006783354</v>
      </c>
      <c r="AQ150" s="19">
        <f t="shared" si="68"/>
        <v>0</v>
      </c>
      <c r="AR150" s="19">
        <f t="shared" si="79"/>
        <v>127.12478750097534</v>
      </c>
      <c r="AS150" s="23">
        <f t="shared" si="69"/>
        <v>1163.3787875009752</v>
      </c>
    </row>
    <row r="151" spans="5:45">
      <c r="E151" s="35" t="str">
        <f t="shared" si="55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0"/>
        <v>2</v>
      </c>
      <c r="I151" s="19">
        <v>2.2000000000000002</v>
      </c>
      <c r="J151" s="36">
        <f>'Flow Rate Calculations'!$B$7</f>
        <v>4.0831050228310497</v>
      </c>
      <c r="K151" s="36">
        <f t="shared" si="70"/>
        <v>1.0741261942924094</v>
      </c>
      <c r="L151" s="37">
        <f>$I151*$K151/'Calculation Constants'!$B$7</f>
        <v>2091219.139330355</v>
      </c>
      <c r="M151" s="37" t="str">
        <f t="shared" si="56"/>
        <v>Greater Dynamic Pressures</v>
      </c>
      <c r="N151" s="23">
        <f t="shared" si="71"/>
        <v>167.1592781216857</v>
      </c>
      <c r="O151" s="56">
        <f t="shared" si="57"/>
        <v>159.12434148962279</v>
      </c>
      <c r="P151" s="65">
        <f>MAX(I151*1000/'Calculation Constants'!$B$14,O151*10*I151*1000/2/('Calculation Constants'!$B$12*1000*'Calculation Constants'!$B$13))</f>
        <v>13.75</v>
      </c>
      <c r="Q151" s="67">
        <f t="shared" si="58"/>
        <v>1482695.7604373412</v>
      </c>
      <c r="R151" s="27">
        <f>(1/(2*LOG(3.7*$I151/'Calculation Constants'!$B$2*1000)))^2</f>
        <v>8.4679866037394684E-3</v>
      </c>
      <c r="S151" s="19">
        <f t="shared" si="72"/>
        <v>0.45268811177167712</v>
      </c>
      <c r="T151" s="19">
        <f>IF($H151&gt;0,'Calculation Constants'!$B$9*Hydraulics!$K151^2/2/9.81/MAX($F$4:$F$253)*$H151,"")</f>
        <v>3.5282785359788842E-2</v>
      </c>
      <c r="U151" s="19">
        <f t="shared" si="73"/>
        <v>0.48797089713146596</v>
      </c>
      <c r="V151" s="19">
        <f t="shared" si="59"/>
        <v>0</v>
      </c>
      <c r="W151" s="19">
        <f t="shared" si="60"/>
        <v>167.1592781216857</v>
      </c>
      <c r="X151" s="23">
        <f t="shared" si="61"/>
        <v>1207.2862781216857</v>
      </c>
      <c r="Y151" s="22">
        <f>(1/(2*LOG(3.7*$I151/'Calculation Constants'!$B$3*1000)))^2</f>
        <v>9.4904462912918219E-3</v>
      </c>
      <c r="Z151" s="19">
        <f t="shared" si="62"/>
        <v>0.50734754464280807</v>
      </c>
      <c r="AA151" s="19">
        <f>IF($H151&gt;0,'Calculation Constants'!$B$9*Hydraulics!$K151^2/2/9.81/MAX($F$4:$F$253)*$H151,"")</f>
        <v>3.5282785359788842E-2</v>
      </c>
      <c r="AB151" s="19">
        <f t="shared" si="81"/>
        <v>0.54263033000259686</v>
      </c>
      <c r="AC151" s="19">
        <f t="shared" si="63"/>
        <v>0</v>
      </c>
      <c r="AD151" s="19">
        <f t="shared" si="74"/>
        <v>159.12434148962279</v>
      </c>
      <c r="AE151" s="23">
        <f t="shared" si="64"/>
        <v>1199.2513414896227</v>
      </c>
      <c r="AF151" s="27">
        <f>(1/(2*LOG(3.7*$I151/'Calculation Constants'!$B$4*1000)))^2</f>
        <v>1.1152845500629007E-2</v>
      </c>
      <c r="AG151" s="19">
        <f t="shared" si="65"/>
        <v>0.59621735446906032</v>
      </c>
      <c r="AH151" s="19">
        <f>IF($H151&gt;0,'Calculation Constants'!$B$9*Hydraulics!$K151^2/2/9.81/MAX($F$4:$F$253)*$H151,"")</f>
        <v>3.5282785359788842E-2</v>
      </c>
      <c r="AI151" s="19">
        <f t="shared" si="75"/>
        <v>0.63150013982884912</v>
      </c>
      <c r="AJ151" s="19">
        <f t="shared" si="66"/>
        <v>0</v>
      </c>
      <c r="AK151" s="19">
        <f t="shared" si="76"/>
        <v>146.06047944515785</v>
      </c>
      <c r="AL151" s="23">
        <f t="shared" si="67"/>
        <v>1186.1874794451578</v>
      </c>
      <c r="AM151" s="22">
        <f>(1/(2*LOG(3.7*($I151-0.008)/'Calculation Constants'!$B$5*1000)))^2</f>
        <v>1.4104604303736145E-2</v>
      </c>
      <c r="AN151" s="19">
        <f t="shared" si="77"/>
        <v>0.75676661531854661</v>
      </c>
      <c r="AO151" s="19">
        <f>IF($H151&gt;0,'Calculation Constants'!$B$9*Hydraulics!$K151^2/2/9.81/MAX($F$4:$F$253)*$H151,"")</f>
        <v>3.5282785359788842E-2</v>
      </c>
      <c r="AP151" s="19">
        <f t="shared" si="78"/>
        <v>0.7920494006783354</v>
      </c>
      <c r="AQ151" s="19">
        <f t="shared" si="68"/>
        <v>0</v>
      </c>
      <c r="AR151" s="19">
        <f t="shared" si="79"/>
        <v>122.45973810029705</v>
      </c>
      <c r="AS151" s="23">
        <f t="shared" si="69"/>
        <v>1162.586738100297</v>
      </c>
    </row>
    <row r="152" spans="5:45">
      <c r="E152" s="35" t="str">
        <f t="shared" si="55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0"/>
        <v>2</v>
      </c>
      <c r="I152" s="19">
        <v>2.2000000000000002</v>
      </c>
      <c r="J152" s="36">
        <f>'Flow Rate Calculations'!$B$7</f>
        <v>4.0831050228310497</v>
      </c>
      <c r="K152" s="36">
        <f t="shared" si="70"/>
        <v>1.0741261942924094</v>
      </c>
      <c r="L152" s="37">
        <f>$I152*$K152/'Calculation Constants'!$B$7</f>
        <v>2091219.139330355</v>
      </c>
      <c r="M152" s="37" t="str">
        <f t="shared" si="56"/>
        <v>Greater Dynamic Pressures</v>
      </c>
      <c r="N152" s="23">
        <f t="shared" si="71"/>
        <v>162.40230722455431</v>
      </c>
      <c r="O152" s="56">
        <f t="shared" si="57"/>
        <v>154.31271115962022</v>
      </c>
      <c r="P152" s="65">
        <f>MAX(I152*1000/'Calculation Constants'!$B$14,O152*10*I152*1000/2/('Calculation Constants'!$B$12*1000*'Calculation Constants'!$B$13))</f>
        <v>13.75</v>
      </c>
      <c r="Q152" s="67">
        <f t="shared" si="58"/>
        <v>1482695.7604373412</v>
      </c>
      <c r="R152" s="27">
        <f>(1/(2*LOG(3.7*$I152/'Calculation Constants'!$B$2*1000)))^2</f>
        <v>8.4679866037394684E-3</v>
      </c>
      <c r="S152" s="19">
        <f t="shared" si="72"/>
        <v>0.45268811177167712</v>
      </c>
      <c r="T152" s="19">
        <f>IF($H152&gt;0,'Calculation Constants'!$B$9*Hydraulics!$K152^2/2/9.81/MAX($F$4:$F$253)*$H152,"")</f>
        <v>3.5282785359788842E-2</v>
      </c>
      <c r="U152" s="19">
        <f t="shared" si="73"/>
        <v>0.48797089713146596</v>
      </c>
      <c r="V152" s="19">
        <f t="shared" si="59"/>
        <v>0</v>
      </c>
      <c r="W152" s="19">
        <f t="shared" si="60"/>
        <v>162.40230722455431</v>
      </c>
      <c r="X152" s="23">
        <f t="shared" si="61"/>
        <v>1206.7983072245543</v>
      </c>
      <c r="Y152" s="22">
        <f>(1/(2*LOG(3.7*$I152/'Calculation Constants'!$B$3*1000)))^2</f>
        <v>9.4904462912918219E-3</v>
      </c>
      <c r="Z152" s="19">
        <f t="shared" si="62"/>
        <v>0.50734754464280807</v>
      </c>
      <c r="AA152" s="19">
        <f>IF($H152&gt;0,'Calculation Constants'!$B$9*Hydraulics!$K152^2/2/9.81/MAX($F$4:$F$253)*$H152,"")</f>
        <v>3.5282785359788842E-2</v>
      </c>
      <c r="AB152" s="19">
        <f t="shared" si="81"/>
        <v>0.54263033000259686</v>
      </c>
      <c r="AC152" s="19">
        <f t="shared" si="63"/>
        <v>0</v>
      </c>
      <c r="AD152" s="19">
        <f t="shared" si="74"/>
        <v>154.31271115962022</v>
      </c>
      <c r="AE152" s="23">
        <f t="shared" si="64"/>
        <v>1198.7087111596202</v>
      </c>
      <c r="AF152" s="27">
        <f>(1/(2*LOG(3.7*$I152/'Calculation Constants'!$B$4*1000)))^2</f>
        <v>1.1152845500629007E-2</v>
      </c>
      <c r="AG152" s="19">
        <f t="shared" si="65"/>
        <v>0.59621735446906032</v>
      </c>
      <c r="AH152" s="19">
        <f>IF($H152&gt;0,'Calculation Constants'!$B$9*Hydraulics!$K152^2/2/9.81/MAX($F$4:$F$253)*$H152,"")</f>
        <v>3.5282785359788842E-2</v>
      </c>
      <c r="AI152" s="19">
        <f t="shared" si="75"/>
        <v>0.63150013982884912</v>
      </c>
      <c r="AJ152" s="19">
        <f t="shared" si="66"/>
        <v>0</v>
      </c>
      <c r="AK152" s="19">
        <f t="shared" si="76"/>
        <v>141.15997930532899</v>
      </c>
      <c r="AL152" s="23">
        <f t="shared" si="67"/>
        <v>1185.5559793053289</v>
      </c>
      <c r="AM152" s="22">
        <f>(1/(2*LOG(3.7*($I152-0.008)/'Calculation Constants'!$B$5*1000)))^2</f>
        <v>1.4104604303736145E-2</v>
      </c>
      <c r="AN152" s="19">
        <f t="shared" si="77"/>
        <v>0.75676661531854661</v>
      </c>
      <c r="AO152" s="19">
        <f>IF($H152&gt;0,'Calculation Constants'!$B$9*Hydraulics!$K152^2/2/9.81/MAX($F$4:$F$253)*$H152,"")</f>
        <v>3.5282785359788842E-2</v>
      </c>
      <c r="AP152" s="19">
        <f t="shared" si="78"/>
        <v>0.7920494006783354</v>
      </c>
      <c r="AQ152" s="19">
        <f t="shared" si="68"/>
        <v>0</v>
      </c>
      <c r="AR152" s="19">
        <f t="shared" si="79"/>
        <v>117.39868869961879</v>
      </c>
      <c r="AS152" s="23">
        <f t="shared" si="69"/>
        <v>1161.7946886996187</v>
      </c>
    </row>
    <row r="153" spans="5:45">
      <c r="E153" s="35" t="str">
        <f t="shared" si="55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0"/>
        <v>2</v>
      </c>
      <c r="I153" s="19">
        <v>2.2000000000000002</v>
      </c>
      <c r="J153" s="36">
        <f>'Flow Rate Calculations'!$B$7</f>
        <v>4.0831050228310497</v>
      </c>
      <c r="K153" s="36">
        <f t="shared" si="70"/>
        <v>1.0741261942924094</v>
      </c>
      <c r="L153" s="37">
        <f>$I153*$K153/'Calculation Constants'!$B$7</f>
        <v>2091219.139330355</v>
      </c>
      <c r="M153" s="37" t="str">
        <f t="shared" si="56"/>
        <v>Greater Dynamic Pressures</v>
      </c>
      <c r="N153" s="23">
        <f t="shared" si="71"/>
        <v>154.97133632742293</v>
      </c>
      <c r="O153" s="56">
        <f t="shared" si="57"/>
        <v>146.82708082961767</v>
      </c>
      <c r="P153" s="65">
        <f>MAX(I153*1000/'Calculation Constants'!$B$14,O153*10*I153*1000/2/('Calculation Constants'!$B$12*1000*'Calculation Constants'!$B$13))</f>
        <v>13.75</v>
      </c>
      <c r="Q153" s="67">
        <f t="shared" si="58"/>
        <v>1482695.7604373412</v>
      </c>
      <c r="R153" s="27">
        <f>(1/(2*LOG(3.7*$I153/'Calculation Constants'!$B$2*1000)))^2</f>
        <v>8.4679866037394684E-3</v>
      </c>
      <c r="S153" s="19">
        <f t="shared" si="72"/>
        <v>0.45268811177167712</v>
      </c>
      <c r="T153" s="19">
        <f>IF($H153&gt;0,'Calculation Constants'!$B$9*Hydraulics!$K153^2/2/9.81/MAX($F$4:$F$253)*$H153,"")</f>
        <v>3.5282785359788842E-2</v>
      </c>
      <c r="U153" s="19">
        <f t="shared" si="73"/>
        <v>0.48797089713146596</v>
      </c>
      <c r="V153" s="19">
        <f t="shared" si="59"/>
        <v>0</v>
      </c>
      <c r="W153" s="19">
        <f t="shared" si="60"/>
        <v>154.97133632742293</v>
      </c>
      <c r="X153" s="23">
        <f t="shared" si="61"/>
        <v>1206.3103363274229</v>
      </c>
      <c r="Y153" s="22">
        <f>(1/(2*LOG(3.7*$I153/'Calculation Constants'!$B$3*1000)))^2</f>
        <v>9.4904462912918219E-3</v>
      </c>
      <c r="Z153" s="19">
        <f t="shared" si="62"/>
        <v>0.50734754464280807</v>
      </c>
      <c r="AA153" s="19">
        <f>IF($H153&gt;0,'Calculation Constants'!$B$9*Hydraulics!$K153^2/2/9.81/MAX($F$4:$F$253)*$H153,"")</f>
        <v>3.5282785359788842E-2</v>
      </c>
      <c r="AB153" s="19">
        <f t="shared" si="81"/>
        <v>0.54263033000259686</v>
      </c>
      <c r="AC153" s="19">
        <f t="shared" si="63"/>
        <v>0</v>
      </c>
      <c r="AD153" s="19">
        <f t="shared" si="74"/>
        <v>146.82708082961767</v>
      </c>
      <c r="AE153" s="23">
        <f t="shared" si="64"/>
        <v>1198.1660808296176</v>
      </c>
      <c r="AF153" s="27">
        <f>(1/(2*LOG(3.7*$I153/'Calculation Constants'!$B$4*1000)))^2</f>
        <v>1.1152845500629007E-2</v>
      </c>
      <c r="AG153" s="19">
        <f t="shared" si="65"/>
        <v>0.59621735446906032</v>
      </c>
      <c r="AH153" s="19">
        <f>IF($H153&gt;0,'Calculation Constants'!$B$9*Hydraulics!$K153^2/2/9.81/MAX($F$4:$F$253)*$H153,"")</f>
        <v>3.5282785359788842E-2</v>
      </c>
      <c r="AI153" s="19">
        <f t="shared" si="75"/>
        <v>0.63150013982884912</v>
      </c>
      <c r="AJ153" s="19">
        <f t="shared" si="66"/>
        <v>0</v>
      </c>
      <c r="AK153" s="19">
        <f t="shared" si="76"/>
        <v>133.58547916550015</v>
      </c>
      <c r="AL153" s="23">
        <f t="shared" si="67"/>
        <v>1184.9244791655001</v>
      </c>
      <c r="AM153" s="22">
        <f>(1/(2*LOG(3.7*($I153-0.008)/'Calculation Constants'!$B$5*1000)))^2</f>
        <v>1.4104604303736145E-2</v>
      </c>
      <c r="AN153" s="19">
        <f t="shared" si="77"/>
        <v>0.75676661531854661</v>
      </c>
      <c r="AO153" s="19">
        <f>IF($H153&gt;0,'Calculation Constants'!$B$9*Hydraulics!$K153^2/2/9.81/MAX($F$4:$F$253)*$H153,"")</f>
        <v>3.5282785359788842E-2</v>
      </c>
      <c r="AP153" s="19">
        <f t="shared" si="78"/>
        <v>0.7920494006783354</v>
      </c>
      <c r="AQ153" s="19">
        <f t="shared" si="68"/>
        <v>0</v>
      </c>
      <c r="AR153" s="19">
        <f t="shared" si="79"/>
        <v>109.66363929894055</v>
      </c>
      <c r="AS153" s="23">
        <f t="shared" si="69"/>
        <v>1161.0026392989405</v>
      </c>
    </row>
    <row r="154" spans="5:45">
      <c r="E154" s="35" t="str">
        <f t="shared" si="55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0"/>
        <v>2</v>
      </c>
      <c r="I154" s="19">
        <v>2.2000000000000002</v>
      </c>
      <c r="J154" s="36">
        <f>'Flow Rate Calculations'!$B$7</f>
        <v>4.0831050228310497</v>
      </c>
      <c r="K154" s="36">
        <f t="shared" si="70"/>
        <v>1.0741261942924094</v>
      </c>
      <c r="L154" s="37">
        <f>$I154*$K154/'Calculation Constants'!$B$7</f>
        <v>2091219.139330355</v>
      </c>
      <c r="M154" s="37" t="str">
        <f t="shared" si="56"/>
        <v>Greater Dynamic Pressures</v>
      </c>
      <c r="N154" s="23">
        <f t="shared" si="71"/>
        <v>144.86736543029156</v>
      </c>
      <c r="O154" s="56">
        <f t="shared" si="57"/>
        <v>136.66845049961512</v>
      </c>
      <c r="P154" s="65">
        <f>MAX(I154*1000/'Calculation Constants'!$B$14,O154*10*I154*1000/2/('Calculation Constants'!$B$12*1000*'Calculation Constants'!$B$13))</f>
        <v>13.75</v>
      </c>
      <c r="Q154" s="67">
        <f t="shared" si="58"/>
        <v>1482695.7604373412</v>
      </c>
      <c r="R154" s="27">
        <f>(1/(2*LOG(3.7*$I154/'Calculation Constants'!$B$2*1000)))^2</f>
        <v>8.4679866037394684E-3</v>
      </c>
      <c r="S154" s="19">
        <f t="shared" si="72"/>
        <v>0.45268811177167712</v>
      </c>
      <c r="T154" s="19">
        <f>IF($H154&gt;0,'Calculation Constants'!$B$9*Hydraulics!$K154^2/2/9.81/MAX($F$4:$F$253)*$H154,"")</f>
        <v>3.5282785359788842E-2</v>
      </c>
      <c r="U154" s="19">
        <f t="shared" si="73"/>
        <v>0.48797089713146596</v>
      </c>
      <c r="V154" s="19">
        <f t="shared" si="59"/>
        <v>0</v>
      </c>
      <c r="W154" s="19">
        <f t="shared" si="60"/>
        <v>144.86736543029156</v>
      </c>
      <c r="X154" s="23">
        <f t="shared" si="61"/>
        <v>1205.8223654302915</v>
      </c>
      <c r="Y154" s="22">
        <f>(1/(2*LOG(3.7*$I154/'Calculation Constants'!$B$3*1000)))^2</f>
        <v>9.4904462912918219E-3</v>
      </c>
      <c r="Z154" s="19">
        <f t="shared" si="62"/>
        <v>0.50734754464280807</v>
      </c>
      <c r="AA154" s="19">
        <f>IF($H154&gt;0,'Calculation Constants'!$B$9*Hydraulics!$K154^2/2/9.81/MAX($F$4:$F$253)*$H154,"")</f>
        <v>3.5282785359788842E-2</v>
      </c>
      <c r="AB154" s="19">
        <f t="shared" si="81"/>
        <v>0.54263033000259686</v>
      </c>
      <c r="AC154" s="19">
        <f t="shared" si="63"/>
        <v>0</v>
      </c>
      <c r="AD154" s="19">
        <f t="shared" si="74"/>
        <v>136.66845049961512</v>
      </c>
      <c r="AE154" s="23">
        <f t="shared" si="64"/>
        <v>1197.623450499615</v>
      </c>
      <c r="AF154" s="27">
        <f>(1/(2*LOG(3.7*$I154/'Calculation Constants'!$B$4*1000)))^2</f>
        <v>1.1152845500629007E-2</v>
      </c>
      <c r="AG154" s="19">
        <f t="shared" si="65"/>
        <v>0.59621735446906032</v>
      </c>
      <c r="AH154" s="19">
        <f>IF($H154&gt;0,'Calculation Constants'!$B$9*Hydraulics!$K154^2/2/9.81/MAX($F$4:$F$253)*$H154,"")</f>
        <v>3.5282785359788842E-2</v>
      </c>
      <c r="AI154" s="19">
        <f t="shared" si="75"/>
        <v>0.63150013982884912</v>
      </c>
      <c r="AJ154" s="19">
        <f t="shared" si="66"/>
        <v>0</v>
      </c>
      <c r="AK154" s="19">
        <f t="shared" si="76"/>
        <v>123.3379790256713</v>
      </c>
      <c r="AL154" s="23">
        <f t="shared" si="67"/>
        <v>1184.2929790256712</v>
      </c>
      <c r="AM154" s="22">
        <f>(1/(2*LOG(3.7*($I154-0.008)/'Calculation Constants'!$B$5*1000)))^2</f>
        <v>1.4104604303736145E-2</v>
      </c>
      <c r="AN154" s="19">
        <f t="shared" si="77"/>
        <v>0.75676661531854661</v>
      </c>
      <c r="AO154" s="19">
        <f>IF($H154&gt;0,'Calculation Constants'!$B$9*Hydraulics!$K154^2/2/9.81/MAX($F$4:$F$253)*$H154,"")</f>
        <v>3.5282785359788842E-2</v>
      </c>
      <c r="AP154" s="19">
        <f t="shared" si="78"/>
        <v>0.7920494006783354</v>
      </c>
      <c r="AQ154" s="19">
        <f t="shared" si="68"/>
        <v>0</v>
      </c>
      <c r="AR154" s="19">
        <f t="shared" si="79"/>
        <v>99.255589898262315</v>
      </c>
      <c r="AS154" s="23">
        <f t="shared" si="69"/>
        <v>1160.2105898982622</v>
      </c>
    </row>
    <row r="155" spans="5:45">
      <c r="E155" s="35" t="str">
        <f t="shared" si="55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0"/>
        <v>2</v>
      </c>
      <c r="I155" s="19">
        <v>2.2000000000000002</v>
      </c>
      <c r="J155" s="36">
        <f>'Flow Rate Calculations'!$B$7</f>
        <v>4.0831050228310497</v>
      </c>
      <c r="K155" s="36">
        <f t="shared" si="70"/>
        <v>1.0741261942924094</v>
      </c>
      <c r="L155" s="37">
        <f>$I155*$K155/'Calculation Constants'!$B$7</f>
        <v>2091219.139330355</v>
      </c>
      <c r="M155" s="37" t="str">
        <f t="shared" si="56"/>
        <v>Greater Dynamic Pressures</v>
      </c>
      <c r="N155" s="23">
        <f t="shared" si="71"/>
        <v>135.10739453316</v>
      </c>
      <c r="O155" s="56">
        <f t="shared" si="57"/>
        <v>126.85382016961239</v>
      </c>
      <c r="P155" s="65">
        <f>MAX(I155*1000/'Calculation Constants'!$B$14,O155*10*I155*1000/2/('Calculation Constants'!$B$12*1000*'Calculation Constants'!$B$13))</f>
        <v>13.75</v>
      </c>
      <c r="Q155" s="67">
        <f t="shared" si="58"/>
        <v>1482695.7604373412</v>
      </c>
      <c r="R155" s="27">
        <f>(1/(2*LOG(3.7*$I155/'Calculation Constants'!$B$2*1000)))^2</f>
        <v>8.4679866037394684E-3</v>
      </c>
      <c r="S155" s="19">
        <f t="shared" si="72"/>
        <v>0.45268811177167712</v>
      </c>
      <c r="T155" s="19">
        <f>IF($H155&gt;0,'Calculation Constants'!$B$9*Hydraulics!$K155^2/2/9.81/MAX($F$4:$F$253)*$H155,"")</f>
        <v>3.5282785359788842E-2</v>
      </c>
      <c r="U155" s="19">
        <f t="shared" si="73"/>
        <v>0.48797089713146596</v>
      </c>
      <c r="V155" s="19">
        <f t="shared" si="59"/>
        <v>0</v>
      </c>
      <c r="W155" s="19">
        <f t="shared" si="60"/>
        <v>135.10739453316</v>
      </c>
      <c r="X155" s="23">
        <f t="shared" si="61"/>
        <v>1205.3343945331601</v>
      </c>
      <c r="Y155" s="22">
        <f>(1/(2*LOG(3.7*$I155/'Calculation Constants'!$B$3*1000)))^2</f>
        <v>9.4904462912918219E-3</v>
      </c>
      <c r="Z155" s="19">
        <f t="shared" si="62"/>
        <v>0.50734754464280807</v>
      </c>
      <c r="AA155" s="19">
        <f>IF($H155&gt;0,'Calculation Constants'!$B$9*Hydraulics!$K155^2/2/9.81/MAX($F$4:$F$253)*$H155,"")</f>
        <v>3.5282785359788842E-2</v>
      </c>
      <c r="AB155" s="19">
        <f t="shared" si="81"/>
        <v>0.54263033000259686</v>
      </c>
      <c r="AC155" s="19">
        <f t="shared" si="63"/>
        <v>0</v>
      </c>
      <c r="AD155" s="19">
        <f t="shared" si="74"/>
        <v>126.85382016961239</v>
      </c>
      <c r="AE155" s="23">
        <f t="shared" si="64"/>
        <v>1197.0808201696125</v>
      </c>
      <c r="AF155" s="27">
        <f>(1/(2*LOG(3.7*$I155/'Calculation Constants'!$B$4*1000)))^2</f>
        <v>1.1152845500629007E-2</v>
      </c>
      <c r="AG155" s="19">
        <f t="shared" si="65"/>
        <v>0.59621735446906032</v>
      </c>
      <c r="AH155" s="19">
        <f>IF($H155&gt;0,'Calculation Constants'!$B$9*Hydraulics!$K155^2/2/9.81/MAX($F$4:$F$253)*$H155,"")</f>
        <v>3.5282785359788842E-2</v>
      </c>
      <c r="AI155" s="19">
        <f t="shared" si="75"/>
        <v>0.63150013982884912</v>
      </c>
      <c r="AJ155" s="19">
        <f t="shared" si="66"/>
        <v>0</v>
      </c>
      <c r="AK155" s="19">
        <f t="shared" si="76"/>
        <v>113.43447888584228</v>
      </c>
      <c r="AL155" s="23">
        <f t="shared" si="67"/>
        <v>1183.6614788858424</v>
      </c>
      <c r="AM155" s="22">
        <f>(1/(2*LOG(3.7*($I155-0.008)/'Calculation Constants'!$B$5*1000)))^2</f>
        <v>1.4104604303736145E-2</v>
      </c>
      <c r="AN155" s="19">
        <f t="shared" si="77"/>
        <v>0.75676661531854661</v>
      </c>
      <c r="AO155" s="19">
        <f>IF($H155&gt;0,'Calculation Constants'!$B$9*Hydraulics!$K155^2/2/9.81/MAX($F$4:$F$253)*$H155,"")</f>
        <v>3.5282785359788842E-2</v>
      </c>
      <c r="AP155" s="19">
        <f t="shared" si="78"/>
        <v>0.7920494006783354</v>
      </c>
      <c r="AQ155" s="19">
        <f t="shared" si="68"/>
        <v>0</v>
      </c>
      <c r="AR155" s="19">
        <f t="shared" si="79"/>
        <v>89.191540497583901</v>
      </c>
      <c r="AS155" s="23">
        <f t="shared" si="69"/>
        <v>1159.418540497584</v>
      </c>
    </row>
    <row r="156" spans="5:45">
      <c r="E156" s="35" t="str">
        <f t="shared" si="55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0"/>
        <v>2</v>
      </c>
      <c r="I156" s="19">
        <v>2.2000000000000002</v>
      </c>
      <c r="J156" s="36">
        <f>'Flow Rate Calculations'!$B$7</f>
        <v>4.0831050228310497</v>
      </c>
      <c r="K156" s="36">
        <f t="shared" si="70"/>
        <v>1.0741261942924094</v>
      </c>
      <c r="L156" s="37">
        <f>$I156*$K156/'Calculation Constants'!$B$7</f>
        <v>2091219.139330355</v>
      </c>
      <c r="M156" s="37" t="str">
        <f t="shared" si="56"/>
        <v>Greater Dynamic Pressures</v>
      </c>
      <c r="N156" s="23">
        <f t="shared" si="71"/>
        <v>132.15542363602867</v>
      </c>
      <c r="O156" s="56">
        <f t="shared" si="57"/>
        <v>123.84718983960988</v>
      </c>
      <c r="P156" s="65">
        <f>MAX(I156*1000/'Calculation Constants'!$B$14,O156*10*I156*1000/2/('Calculation Constants'!$B$12*1000*'Calculation Constants'!$B$13))</f>
        <v>13.75</v>
      </c>
      <c r="Q156" s="67">
        <f t="shared" si="58"/>
        <v>1482695.7604373412</v>
      </c>
      <c r="R156" s="27">
        <f>(1/(2*LOG(3.7*$I156/'Calculation Constants'!$B$2*1000)))^2</f>
        <v>8.4679866037394684E-3</v>
      </c>
      <c r="S156" s="19">
        <f t="shared" si="72"/>
        <v>0.45268811177167712</v>
      </c>
      <c r="T156" s="19">
        <f>IF($H156&gt;0,'Calculation Constants'!$B$9*Hydraulics!$K156^2/2/9.81/MAX($F$4:$F$253)*$H156,"")</f>
        <v>3.5282785359788842E-2</v>
      </c>
      <c r="U156" s="19">
        <f t="shared" si="73"/>
        <v>0.48797089713146596</v>
      </c>
      <c r="V156" s="19">
        <f t="shared" si="59"/>
        <v>0</v>
      </c>
      <c r="W156" s="19">
        <f t="shared" si="60"/>
        <v>132.15542363602867</v>
      </c>
      <c r="X156" s="23">
        <f t="shared" si="61"/>
        <v>1204.8464236360287</v>
      </c>
      <c r="Y156" s="22">
        <f>(1/(2*LOG(3.7*$I156/'Calculation Constants'!$B$3*1000)))^2</f>
        <v>9.4904462912918219E-3</v>
      </c>
      <c r="Z156" s="19">
        <f t="shared" si="62"/>
        <v>0.50734754464280807</v>
      </c>
      <c r="AA156" s="19">
        <f>IF($H156&gt;0,'Calculation Constants'!$B$9*Hydraulics!$K156^2/2/9.81/MAX($F$4:$F$253)*$H156,"")</f>
        <v>3.5282785359788842E-2</v>
      </c>
      <c r="AB156" s="19">
        <f t="shared" si="81"/>
        <v>0.54263033000259686</v>
      </c>
      <c r="AC156" s="19">
        <f t="shared" si="63"/>
        <v>0</v>
      </c>
      <c r="AD156" s="19">
        <f t="shared" si="74"/>
        <v>123.84718983960988</v>
      </c>
      <c r="AE156" s="23">
        <f t="shared" si="64"/>
        <v>1196.5381898396099</v>
      </c>
      <c r="AF156" s="27">
        <f>(1/(2*LOG(3.7*$I156/'Calculation Constants'!$B$4*1000)))^2</f>
        <v>1.1152845500629007E-2</v>
      </c>
      <c r="AG156" s="19">
        <f t="shared" si="65"/>
        <v>0.59621735446906032</v>
      </c>
      <c r="AH156" s="19">
        <f>IF($H156&gt;0,'Calculation Constants'!$B$9*Hydraulics!$K156^2/2/9.81/MAX($F$4:$F$253)*$H156,"")</f>
        <v>3.5282785359788842E-2</v>
      </c>
      <c r="AI156" s="19">
        <f t="shared" si="75"/>
        <v>0.63150013982884912</v>
      </c>
      <c r="AJ156" s="19">
        <f t="shared" si="66"/>
        <v>0</v>
      </c>
      <c r="AK156" s="19">
        <f t="shared" si="76"/>
        <v>110.33897874601348</v>
      </c>
      <c r="AL156" s="23">
        <f t="shared" si="67"/>
        <v>1183.0299787460135</v>
      </c>
      <c r="AM156" s="22">
        <f>(1/(2*LOG(3.7*($I156-0.008)/'Calculation Constants'!$B$5*1000)))^2</f>
        <v>1.4104604303736145E-2</v>
      </c>
      <c r="AN156" s="19">
        <f t="shared" si="77"/>
        <v>0.75676661531854661</v>
      </c>
      <c r="AO156" s="19">
        <f>IF($H156&gt;0,'Calculation Constants'!$B$9*Hydraulics!$K156^2/2/9.81/MAX($F$4:$F$253)*$H156,"")</f>
        <v>3.5282785359788842E-2</v>
      </c>
      <c r="AP156" s="19">
        <f t="shared" si="78"/>
        <v>0.7920494006783354</v>
      </c>
      <c r="AQ156" s="19">
        <f t="shared" si="68"/>
        <v>0</v>
      </c>
      <c r="AR156" s="19">
        <f t="shared" si="79"/>
        <v>85.935491096905707</v>
      </c>
      <c r="AS156" s="23">
        <f t="shared" si="69"/>
        <v>1158.6264910969057</v>
      </c>
    </row>
    <row r="157" spans="5:45">
      <c r="E157" s="35" t="str">
        <f t="shared" si="55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0"/>
        <v>2</v>
      </c>
      <c r="I157" s="19">
        <v>2.2000000000000002</v>
      </c>
      <c r="J157" s="36">
        <f>'Flow Rate Calculations'!$B$7</f>
        <v>4.0831050228310497</v>
      </c>
      <c r="K157" s="36">
        <f t="shared" si="70"/>
        <v>1.0741261942924094</v>
      </c>
      <c r="L157" s="37">
        <f>$I157*$K157/'Calculation Constants'!$B$7</f>
        <v>2091219.139330355</v>
      </c>
      <c r="M157" s="37" t="str">
        <f t="shared" si="56"/>
        <v>Greater Dynamic Pressures</v>
      </c>
      <c r="N157" s="23">
        <f t="shared" si="71"/>
        <v>127.85545273889738</v>
      </c>
      <c r="O157" s="56">
        <f t="shared" si="57"/>
        <v>119.49255950960742</v>
      </c>
      <c r="P157" s="65">
        <f>MAX(I157*1000/'Calculation Constants'!$B$14,O157*10*I157*1000/2/('Calculation Constants'!$B$12*1000*'Calculation Constants'!$B$13))</f>
        <v>13.75</v>
      </c>
      <c r="Q157" s="67">
        <f t="shared" si="58"/>
        <v>1482695.7604373412</v>
      </c>
      <c r="R157" s="27">
        <f>(1/(2*LOG(3.7*$I157/'Calculation Constants'!$B$2*1000)))^2</f>
        <v>8.4679866037394684E-3</v>
      </c>
      <c r="S157" s="19">
        <f t="shared" si="72"/>
        <v>0.45268811177167712</v>
      </c>
      <c r="T157" s="19">
        <f>IF($H157&gt;0,'Calculation Constants'!$B$9*Hydraulics!$K157^2/2/9.81/MAX($F$4:$F$253)*$H157,"")</f>
        <v>3.5282785359788842E-2</v>
      </c>
      <c r="U157" s="19">
        <f t="shared" si="73"/>
        <v>0.48797089713146596</v>
      </c>
      <c r="V157" s="19">
        <f t="shared" si="59"/>
        <v>0</v>
      </c>
      <c r="W157" s="19">
        <f t="shared" si="60"/>
        <v>127.85545273889738</v>
      </c>
      <c r="X157" s="23">
        <f t="shared" si="61"/>
        <v>1204.3584527388973</v>
      </c>
      <c r="Y157" s="22">
        <f>(1/(2*LOG(3.7*$I157/'Calculation Constants'!$B$3*1000)))^2</f>
        <v>9.4904462912918219E-3</v>
      </c>
      <c r="Z157" s="19">
        <f t="shared" si="62"/>
        <v>0.50734754464280807</v>
      </c>
      <c r="AA157" s="19">
        <f>IF($H157&gt;0,'Calculation Constants'!$B$9*Hydraulics!$K157^2/2/9.81/MAX($F$4:$F$253)*$H157,"")</f>
        <v>3.5282785359788842E-2</v>
      </c>
      <c r="AB157" s="19">
        <f t="shared" si="81"/>
        <v>0.54263033000259686</v>
      </c>
      <c r="AC157" s="19">
        <f t="shared" si="63"/>
        <v>0</v>
      </c>
      <c r="AD157" s="19">
        <f t="shared" si="74"/>
        <v>119.49255950960742</v>
      </c>
      <c r="AE157" s="23">
        <f t="shared" si="64"/>
        <v>1195.9955595096073</v>
      </c>
      <c r="AF157" s="27">
        <f>(1/(2*LOG(3.7*$I157/'Calculation Constants'!$B$4*1000)))^2</f>
        <v>1.1152845500629007E-2</v>
      </c>
      <c r="AG157" s="19">
        <f t="shared" si="65"/>
        <v>0.59621735446906032</v>
      </c>
      <c r="AH157" s="19">
        <f>IF($H157&gt;0,'Calculation Constants'!$B$9*Hydraulics!$K157^2/2/9.81/MAX($F$4:$F$253)*$H157,"")</f>
        <v>3.5282785359788842E-2</v>
      </c>
      <c r="AI157" s="19">
        <f t="shared" si="75"/>
        <v>0.63150013982884912</v>
      </c>
      <c r="AJ157" s="19">
        <f t="shared" si="66"/>
        <v>0</v>
      </c>
      <c r="AK157" s="19">
        <f t="shared" si="76"/>
        <v>105.89547860618472</v>
      </c>
      <c r="AL157" s="23">
        <f t="shared" si="67"/>
        <v>1182.3984786061847</v>
      </c>
      <c r="AM157" s="22">
        <f>(1/(2*LOG(3.7*($I157-0.008)/'Calculation Constants'!$B$5*1000)))^2</f>
        <v>1.4104604303736145E-2</v>
      </c>
      <c r="AN157" s="19">
        <f t="shared" si="77"/>
        <v>0.75676661531854661</v>
      </c>
      <c r="AO157" s="19">
        <f>IF($H157&gt;0,'Calculation Constants'!$B$9*Hydraulics!$K157^2/2/9.81/MAX($F$4:$F$253)*$H157,"")</f>
        <v>3.5282785359788842E-2</v>
      </c>
      <c r="AP157" s="19">
        <f t="shared" si="78"/>
        <v>0.7920494006783354</v>
      </c>
      <c r="AQ157" s="19">
        <f t="shared" si="68"/>
        <v>0</v>
      </c>
      <c r="AR157" s="19">
        <f t="shared" si="79"/>
        <v>81.331441696227557</v>
      </c>
      <c r="AS157" s="23">
        <f t="shared" si="69"/>
        <v>1157.8344416962275</v>
      </c>
    </row>
    <row r="158" spans="5:45">
      <c r="E158" s="35" t="str">
        <f t="shared" si="55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0"/>
        <v>2</v>
      </c>
      <c r="I158" s="19">
        <v>2.2000000000000002</v>
      </c>
      <c r="J158" s="36">
        <f>'Flow Rate Calculations'!$B$7</f>
        <v>4.0831050228310497</v>
      </c>
      <c r="K158" s="36">
        <f t="shared" si="70"/>
        <v>1.0741261942924094</v>
      </c>
      <c r="L158" s="37">
        <f>$I158*$K158/'Calculation Constants'!$B$7</f>
        <v>2091219.139330355</v>
      </c>
      <c r="M158" s="37" t="str">
        <f t="shared" si="56"/>
        <v>Greater Dynamic Pressures</v>
      </c>
      <c r="N158" s="23">
        <f t="shared" si="71"/>
        <v>119.87448184176583</v>
      </c>
      <c r="O158" s="56">
        <f t="shared" si="57"/>
        <v>111.45692917960469</v>
      </c>
      <c r="P158" s="65">
        <f>MAX(I158*1000/'Calculation Constants'!$B$14,O158*10*I158*1000/2/('Calculation Constants'!$B$12*1000*'Calculation Constants'!$B$13))</f>
        <v>13.75</v>
      </c>
      <c r="Q158" s="67">
        <f t="shared" si="58"/>
        <v>1482695.7604373412</v>
      </c>
      <c r="R158" s="27">
        <f>(1/(2*LOG(3.7*$I158/'Calculation Constants'!$B$2*1000)))^2</f>
        <v>8.4679866037394684E-3</v>
      </c>
      <c r="S158" s="19">
        <f t="shared" si="72"/>
        <v>0.45268811177167712</v>
      </c>
      <c r="T158" s="19">
        <f>IF($H158&gt;0,'Calculation Constants'!$B$9*Hydraulics!$K158^2/2/9.81/MAX($F$4:$F$253)*$H158,"")</f>
        <v>3.5282785359788842E-2</v>
      </c>
      <c r="U158" s="19">
        <f t="shared" si="73"/>
        <v>0.48797089713146596</v>
      </c>
      <c r="V158" s="19">
        <f t="shared" si="59"/>
        <v>0</v>
      </c>
      <c r="W158" s="19">
        <f t="shared" si="60"/>
        <v>119.87448184176583</v>
      </c>
      <c r="X158" s="23">
        <f t="shared" si="61"/>
        <v>1203.8704818417659</v>
      </c>
      <c r="Y158" s="22">
        <f>(1/(2*LOG(3.7*$I158/'Calculation Constants'!$B$3*1000)))^2</f>
        <v>9.4904462912918219E-3</v>
      </c>
      <c r="Z158" s="19">
        <f t="shared" si="62"/>
        <v>0.50734754464280807</v>
      </c>
      <c r="AA158" s="19">
        <f>IF($H158&gt;0,'Calculation Constants'!$B$9*Hydraulics!$K158^2/2/9.81/MAX($F$4:$F$253)*$H158,"")</f>
        <v>3.5282785359788842E-2</v>
      </c>
      <c r="AB158" s="19">
        <f t="shared" si="81"/>
        <v>0.54263033000259686</v>
      </c>
      <c r="AC158" s="19">
        <f t="shared" si="63"/>
        <v>0</v>
      </c>
      <c r="AD158" s="19">
        <f t="shared" si="74"/>
        <v>111.45692917960469</v>
      </c>
      <c r="AE158" s="23">
        <f t="shared" si="64"/>
        <v>1195.4529291796048</v>
      </c>
      <c r="AF158" s="27">
        <f>(1/(2*LOG(3.7*$I158/'Calculation Constants'!$B$4*1000)))^2</f>
        <v>1.1152845500629007E-2</v>
      </c>
      <c r="AG158" s="19">
        <f t="shared" si="65"/>
        <v>0.59621735446906032</v>
      </c>
      <c r="AH158" s="19">
        <f>IF($H158&gt;0,'Calculation Constants'!$B$9*Hydraulics!$K158^2/2/9.81/MAX($F$4:$F$253)*$H158,"")</f>
        <v>3.5282785359788842E-2</v>
      </c>
      <c r="AI158" s="19">
        <f t="shared" si="75"/>
        <v>0.63150013982884912</v>
      </c>
      <c r="AJ158" s="19">
        <f t="shared" si="66"/>
        <v>0</v>
      </c>
      <c r="AK158" s="19">
        <f t="shared" si="76"/>
        <v>97.7709784663557</v>
      </c>
      <c r="AL158" s="23">
        <f t="shared" si="67"/>
        <v>1181.7669784663558</v>
      </c>
      <c r="AM158" s="22">
        <f>(1/(2*LOG(3.7*($I158-0.008)/'Calculation Constants'!$B$5*1000)))^2</f>
        <v>1.4104604303736145E-2</v>
      </c>
      <c r="AN158" s="19">
        <f t="shared" si="77"/>
        <v>0.75676661531854661</v>
      </c>
      <c r="AO158" s="19">
        <f>IF($H158&gt;0,'Calculation Constants'!$B$9*Hydraulics!$K158^2/2/9.81/MAX($F$4:$F$253)*$H158,"")</f>
        <v>3.5282785359788842E-2</v>
      </c>
      <c r="AP158" s="19">
        <f t="shared" si="78"/>
        <v>0.7920494006783354</v>
      </c>
      <c r="AQ158" s="19">
        <f t="shared" si="68"/>
        <v>0</v>
      </c>
      <c r="AR158" s="19">
        <f t="shared" si="79"/>
        <v>73.04639229554914</v>
      </c>
      <c r="AS158" s="23">
        <f t="shared" si="69"/>
        <v>1157.0423922955492</v>
      </c>
    </row>
    <row r="159" spans="5:45">
      <c r="E159" s="35" t="str">
        <f t="shared" si="55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0"/>
        <v>2</v>
      </c>
      <c r="I159" s="19">
        <v>2.2000000000000002</v>
      </c>
      <c r="J159" s="36">
        <f>'Flow Rate Calculations'!$B$7</f>
        <v>4.0831050228310497</v>
      </c>
      <c r="K159" s="36">
        <f t="shared" si="70"/>
        <v>1.0741261942924094</v>
      </c>
      <c r="L159" s="37">
        <f>$I159*$K159/'Calculation Constants'!$B$7</f>
        <v>2091219.139330355</v>
      </c>
      <c r="M159" s="37" t="str">
        <f t="shared" si="56"/>
        <v>Greater Dynamic Pressures</v>
      </c>
      <c r="N159" s="23">
        <f t="shared" si="71"/>
        <v>106.19451094463443</v>
      </c>
      <c r="O159" s="56">
        <f t="shared" si="57"/>
        <v>97.722298849602112</v>
      </c>
      <c r="P159" s="65">
        <f>MAX(I159*1000/'Calculation Constants'!$B$14,O159*10*I159*1000/2/('Calculation Constants'!$B$12*1000*'Calculation Constants'!$B$13))</f>
        <v>13.75</v>
      </c>
      <c r="Q159" s="67">
        <f t="shared" si="58"/>
        <v>1482695.7604373412</v>
      </c>
      <c r="R159" s="27">
        <f>(1/(2*LOG(3.7*$I159/'Calculation Constants'!$B$2*1000)))^2</f>
        <v>8.4679866037394684E-3</v>
      </c>
      <c r="S159" s="19">
        <f t="shared" si="72"/>
        <v>0.45268811177167712</v>
      </c>
      <c r="T159" s="19">
        <f>IF($H159&gt;0,'Calculation Constants'!$B$9*Hydraulics!$K159^2/2/9.81/MAX($F$4:$F$253)*$H159,"")</f>
        <v>3.5282785359788842E-2</v>
      </c>
      <c r="U159" s="19">
        <f t="shared" si="73"/>
        <v>0.48797089713146596</v>
      </c>
      <c r="V159" s="19">
        <f t="shared" si="59"/>
        <v>0</v>
      </c>
      <c r="W159" s="19">
        <f t="shared" si="60"/>
        <v>106.19451094463443</v>
      </c>
      <c r="X159" s="23">
        <f t="shared" si="61"/>
        <v>1203.3825109446345</v>
      </c>
      <c r="Y159" s="22">
        <f>(1/(2*LOG(3.7*$I159/'Calculation Constants'!$B$3*1000)))^2</f>
        <v>9.4904462912918219E-3</v>
      </c>
      <c r="Z159" s="19">
        <f t="shared" si="62"/>
        <v>0.50734754464280807</v>
      </c>
      <c r="AA159" s="19">
        <f>IF($H159&gt;0,'Calculation Constants'!$B$9*Hydraulics!$K159^2/2/9.81/MAX($F$4:$F$253)*$H159,"")</f>
        <v>3.5282785359788842E-2</v>
      </c>
      <c r="AB159" s="19">
        <f t="shared" si="81"/>
        <v>0.54263033000259686</v>
      </c>
      <c r="AC159" s="19">
        <f t="shared" si="63"/>
        <v>0</v>
      </c>
      <c r="AD159" s="19">
        <f t="shared" si="74"/>
        <v>97.722298849602112</v>
      </c>
      <c r="AE159" s="23">
        <f t="shared" si="64"/>
        <v>1194.9102988496022</v>
      </c>
      <c r="AF159" s="27">
        <f>(1/(2*LOG(3.7*$I159/'Calculation Constants'!$B$4*1000)))^2</f>
        <v>1.1152845500629007E-2</v>
      </c>
      <c r="AG159" s="19">
        <f t="shared" si="65"/>
        <v>0.59621735446906032</v>
      </c>
      <c r="AH159" s="19">
        <f>IF($H159&gt;0,'Calculation Constants'!$B$9*Hydraulics!$K159^2/2/9.81/MAX($F$4:$F$253)*$H159,"")</f>
        <v>3.5282785359788842E-2</v>
      </c>
      <c r="AI159" s="19">
        <f t="shared" si="75"/>
        <v>0.63150013982884912</v>
      </c>
      <c r="AJ159" s="19">
        <f t="shared" si="66"/>
        <v>0</v>
      </c>
      <c r="AK159" s="19">
        <f t="shared" si="76"/>
        <v>83.947478326526834</v>
      </c>
      <c r="AL159" s="23">
        <f t="shared" si="67"/>
        <v>1181.1354783265269</v>
      </c>
      <c r="AM159" s="22">
        <f>(1/(2*LOG(3.7*($I159-0.008)/'Calculation Constants'!$B$5*1000)))^2</f>
        <v>1.4104604303736145E-2</v>
      </c>
      <c r="AN159" s="19">
        <f t="shared" si="77"/>
        <v>0.75676661531854661</v>
      </c>
      <c r="AO159" s="19">
        <f>IF($H159&gt;0,'Calculation Constants'!$B$9*Hydraulics!$K159^2/2/9.81/MAX($F$4:$F$253)*$H159,"")</f>
        <v>3.5282785359788842E-2</v>
      </c>
      <c r="AP159" s="19">
        <f t="shared" si="78"/>
        <v>0.7920494006783354</v>
      </c>
      <c r="AQ159" s="19">
        <f t="shared" si="68"/>
        <v>0</v>
      </c>
      <c r="AR159" s="19">
        <f t="shared" si="79"/>
        <v>59.062342894870881</v>
      </c>
      <c r="AS159" s="23">
        <f t="shared" si="69"/>
        <v>1156.250342894871</v>
      </c>
    </row>
    <row r="160" spans="5:45">
      <c r="E160" s="35" t="str">
        <f t="shared" si="55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0"/>
        <v>2</v>
      </c>
      <c r="I160" s="19">
        <v>2.2000000000000002</v>
      </c>
      <c r="J160" s="36">
        <f>'Flow Rate Calculations'!$B$7</f>
        <v>4.0831050228310497</v>
      </c>
      <c r="K160" s="36">
        <f t="shared" si="70"/>
        <v>1.0741261942924094</v>
      </c>
      <c r="L160" s="37">
        <f>$I160*$K160/'Calculation Constants'!$B$7</f>
        <v>2091219.139330355</v>
      </c>
      <c r="M160" s="37" t="str">
        <f t="shared" si="56"/>
        <v>Greater Dynamic Pressures</v>
      </c>
      <c r="N160" s="23">
        <f t="shared" si="71"/>
        <v>99.349540047503069</v>
      </c>
      <c r="O160" s="56">
        <f t="shared" si="57"/>
        <v>90.822668519599574</v>
      </c>
      <c r="P160" s="65">
        <f>MAX(I160*1000/'Calculation Constants'!$B$14,O160*10*I160*1000/2/('Calculation Constants'!$B$12*1000*'Calculation Constants'!$B$13))</f>
        <v>13.75</v>
      </c>
      <c r="Q160" s="67">
        <f t="shared" si="58"/>
        <v>1482695.7604373412</v>
      </c>
      <c r="R160" s="27">
        <f>(1/(2*LOG(3.7*$I160/'Calculation Constants'!$B$2*1000)))^2</f>
        <v>8.4679866037394684E-3</v>
      </c>
      <c r="S160" s="19">
        <f t="shared" si="72"/>
        <v>0.45268811177167712</v>
      </c>
      <c r="T160" s="19">
        <f>IF($H160&gt;0,'Calculation Constants'!$B$9*Hydraulics!$K160^2/2/9.81/MAX($F$4:$F$253)*$H160,"")</f>
        <v>3.5282785359788842E-2</v>
      </c>
      <c r="U160" s="19">
        <f t="shared" si="73"/>
        <v>0.48797089713146596</v>
      </c>
      <c r="V160" s="19">
        <f t="shared" si="59"/>
        <v>0</v>
      </c>
      <c r="W160" s="19">
        <f t="shared" si="60"/>
        <v>99.349540047503069</v>
      </c>
      <c r="X160" s="23">
        <f t="shared" si="61"/>
        <v>1202.8945400475031</v>
      </c>
      <c r="Y160" s="22">
        <f>(1/(2*LOG(3.7*$I160/'Calculation Constants'!$B$3*1000)))^2</f>
        <v>9.4904462912918219E-3</v>
      </c>
      <c r="Z160" s="19">
        <f t="shared" si="62"/>
        <v>0.50734754464280807</v>
      </c>
      <c r="AA160" s="19">
        <f>IF($H160&gt;0,'Calculation Constants'!$B$9*Hydraulics!$K160^2/2/9.81/MAX($F$4:$F$253)*$H160,"")</f>
        <v>3.5282785359788842E-2</v>
      </c>
      <c r="AB160" s="19">
        <f t="shared" si="81"/>
        <v>0.54263033000259686</v>
      </c>
      <c r="AC160" s="19">
        <f t="shared" si="63"/>
        <v>0</v>
      </c>
      <c r="AD160" s="19">
        <f t="shared" si="74"/>
        <v>90.822668519599574</v>
      </c>
      <c r="AE160" s="23">
        <f t="shared" si="64"/>
        <v>1194.3676685195996</v>
      </c>
      <c r="AF160" s="27">
        <f>(1/(2*LOG(3.7*$I160/'Calculation Constants'!$B$4*1000)))^2</f>
        <v>1.1152845500629007E-2</v>
      </c>
      <c r="AG160" s="19">
        <f t="shared" si="65"/>
        <v>0.59621735446906032</v>
      </c>
      <c r="AH160" s="19">
        <f>IF($H160&gt;0,'Calculation Constants'!$B$9*Hydraulics!$K160^2/2/9.81/MAX($F$4:$F$253)*$H160,"")</f>
        <v>3.5282785359788842E-2</v>
      </c>
      <c r="AI160" s="19">
        <f t="shared" si="75"/>
        <v>0.63150013982884912</v>
      </c>
      <c r="AJ160" s="19">
        <f t="shared" si="66"/>
        <v>0</v>
      </c>
      <c r="AK160" s="19">
        <f t="shared" si="76"/>
        <v>76.958978186698005</v>
      </c>
      <c r="AL160" s="23">
        <f t="shared" si="67"/>
        <v>1180.5039781866981</v>
      </c>
      <c r="AM160" s="22">
        <f>(1/(2*LOG(3.7*($I160-0.008)/'Calculation Constants'!$B$5*1000)))^2</f>
        <v>1.4104604303736145E-2</v>
      </c>
      <c r="AN160" s="19">
        <f t="shared" si="77"/>
        <v>0.75676661531854661</v>
      </c>
      <c r="AO160" s="19">
        <f>IF($H160&gt;0,'Calculation Constants'!$B$9*Hydraulics!$K160^2/2/9.81/MAX($F$4:$F$253)*$H160,"")</f>
        <v>3.5282785359788842E-2</v>
      </c>
      <c r="AP160" s="19">
        <f t="shared" si="78"/>
        <v>0.7920494006783354</v>
      </c>
      <c r="AQ160" s="19">
        <f t="shared" si="68"/>
        <v>0</v>
      </c>
      <c r="AR160" s="19">
        <f t="shared" si="79"/>
        <v>51.913293494192658</v>
      </c>
      <c r="AS160" s="23">
        <f t="shared" si="69"/>
        <v>1155.4582934941927</v>
      </c>
    </row>
    <row r="161" spans="5:45">
      <c r="E161" s="35" t="str">
        <f t="shared" si="55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0"/>
        <v>2</v>
      </c>
      <c r="I161" s="19">
        <v>2.2000000000000002</v>
      </c>
      <c r="J161" s="36">
        <f>'Flow Rate Calculations'!$B$7</f>
        <v>4.0831050228310497</v>
      </c>
      <c r="K161" s="36">
        <f t="shared" si="70"/>
        <v>1.0741261942924094</v>
      </c>
      <c r="L161" s="37">
        <f>$I161*$K161/'Calculation Constants'!$B$7</f>
        <v>2091219.139330355</v>
      </c>
      <c r="M161" s="37" t="str">
        <f t="shared" si="56"/>
        <v>Greater Dynamic Pressures</v>
      </c>
      <c r="N161" s="23">
        <f t="shared" si="71"/>
        <v>97.232569150371774</v>
      </c>
      <c r="O161" s="56">
        <f t="shared" si="57"/>
        <v>88.651038189597102</v>
      </c>
      <c r="P161" s="65">
        <f>MAX(I161*1000/'Calculation Constants'!$B$14,O161*10*I161*1000/2/('Calculation Constants'!$B$12*1000*'Calculation Constants'!$B$13))</f>
        <v>13.75</v>
      </c>
      <c r="Q161" s="67">
        <f t="shared" si="58"/>
        <v>1482695.7604373412</v>
      </c>
      <c r="R161" s="27">
        <f>(1/(2*LOG(3.7*$I161/'Calculation Constants'!$B$2*1000)))^2</f>
        <v>8.4679866037394684E-3</v>
      </c>
      <c r="S161" s="19">
        <f t="shared" si="72"/>
        <v>0.45268811177167712</v>
      </c>
      <c r="T161" s="19">
        <f>IF($H161&gt;0,'Calculation Constants'!$B$9*Hydraulics!$K161^2/2/9.81/MAX($F$4:$F$253)*$H161,"")</f>
        <v>3.5282785359788842E-2</v>
      </c>
      <c r="U161" s="19">
        <f t="shared" si="73"/>
        <v>0.48797089713146596</v>
      </c>
      <c r="V161" s="19">
        <f t="shared" si="59"/>
        <v>0</v>
      </c>
      <c r="W161" s="19">
        <f t="shared" si="60"/>
        <v>97.232569150371774</v>
      </c>
      <c r="X161" s="23">
        <f t="shared" si="61"/>
        <v>1202.4065691503718</v>
      </c>
      <c r="Y161" s="22">
        <f>(1/(2*LOG(3.7*$I161/'Calculation Constants'!$B$3*1000)))^2</f>
        <v>9.4904462912918219E-3</v>
      </c>
      <c r="Z161" s="19">
        <f t="shared" si="62"/>
        <v>0.50734754464280807</v>
      </c>
      <c r="AA161" s="19">
        <f>IF($H161&gt;0,'Calculation Constants'!$B$9*Hydraulics!$K161^2/2/9.81/MAX($F$4:$F$253)*$H161,"")</f>
        <v>3.5282785359788842E-2</v>
      </c>
      <c r="AB161" s="19">
        <f t="shared" si="81"/>
        <v>0.54263033000259686</v>
      </c>
      <c r="AC161" s="19">
        <f t="shared" si="63"/>
        <v>0</v>
      </c>
      <c r="AD161" s="19">
        <f t="shared" si="74"/>
        <v>88.651038189597102</v>
      </c>
      <c r="AE161" s="23">
        <f t="shared" si="64"/>
        <v>1193.8250381895971</v>
      </c>
      <c r="AF161" s="27">
        <f>(1/(2*LOG(3.7*$I161/'Calculation Constants'!$B$4*1000)))^2</f>
        <v>1.1152845500629007E-2</v>
      </c>
      <c r="AG161" s="19">
        <f t="shared" si="65"/>
        <v>0.59621735446906032</v>
      </c>
      <c r="AH161" s="19">
        <f>IF($H161&gt;0,'Calculation Constants'!$B$9*Hydraulics!$K161^2/2/9.81/MAX($F$4:$F$253)*$H161,"")</f>
        <v>3.5282785359788842E-2</v>
      </c>
      <c r="AI161" s="19">
        <f t="shared" si="75"/>
        <v>0.63150013982884912</v>
      </c>
      <c r="AJ161" s="19">
        <f t="shared" si="66"/>
        <v>0</v>
      </c>
      <c r="AK161" s="19">
        <f t="shared" si="76"/>
        <v>74.698478046869241</v>
      </c>
      <c r="AL161" s="23">
        <f t="shared" si="67"/>
        <v>1179.8724780468692</v>
      </c>
      <c r="AM161" s="22">
        <f>(1/(2*LOG(3.7*($I161-0.008)/'Calculation Constants'!$B$5*1000)))^2</f>
        <v>1.4104604303736145E-2</v>
      </c>
      <c r="AN161" s="19">
        <f t="shared" si="77"/>
        <v>0.75676661531854661</v>
      </c>
      <c r="AO161" s="19">
        <f>IF($H161&gt;0,'Calculation Constants'!$B$9*Hydraulics!$K161^2/2/9.81/MAX($F$4:$F$253)*$H161,"")</f>
        <v>3.5282785359788842E-2</v>
      </c>
      <c r="AP161" s="19">
        <f t="shared" si="78"/>
        <v>0.7920494006783354</v>
      </c>
      <c r="AQ161" s="19">
        <f t="shared" si="68"/>
        <v>0</v>
      </c>
      <c r="AR161" s="19">
        <f t="shared" si="79"/>
        <v>49.4922440935145</v>
      </c>
      <c r="AS161" s="23">
        <f t="shared" si="69"/>
        <v>1154.6662440935145</v>
      </c>
    </row>
    <row r="162" spans="5:45">
      <c r="E162" s="35" t="str">
        <f t="shared" si="55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0"/>
        <v>2</v>
      </c>
      <c r="I162" s="19">
        <v>2.2000000000000002</v>
      </c>
      <c r="J162" s="36">
        <f>'Flow Rate Calculations'!$B$7</f>
        <v>4.0831050228310497</v>
      </c>
      <c r="K162" s="36">
        <f t="shared" si="70"/>
        <v>1.0741261942924094</v>
      </c>
      <c r="L162" s="37">
        <f>$I162*$K162/'Calculation Constants'!$B$7</f>
        <v>2091219.139330355</v>
      </c>
      <c r="M162" s="37" t="str">
        <f t="shared" si="56"/>
        <v>Greater Dynamic Pressures</v>
      </c>
      <c r="N162" s="23">
        <f t="shared" si="71"/>
        <v>90.261598253240436</v>
      </c>
      <c r="O162" s="56">
        <f t="shared" si="57"/>
        <v>81.625407859594588</v>
      </c>
      <c r="P162" s="65">
        <f>MAX(I162*1000/'Calculation Constants'!$B$14,O162*10*I162*1000/2/('Calculation Constants'!$B$12*1000*'Calculation Constants'!$B$13))</f>
        <v>13.75</v>
      </c>
      <c r="Q162" s="67">
        <f t="shared" si="58"/>
        <v>1482695.7604373412</v>
      </c>
      <c r="R162" s="27">
        <f>(1/(2*LOG(3.7*$I162/'Calculation Constants'!$B$2*1000)))^2</f>
        <v>8.4679866037394684E-3</v>
      </c>
      <c r="S162" s="19">
        <f t="shared" si="72"/>
        <v>0.45268811177167712</v>
      </c>
      <c r="T162" s="19">
        <f>IF($H162&gt;0,'Calculation Constants'!$B$9*Hydraulics!$K162^2/2/9.81/MAX($F$4:$F$253)*$H162,"")</f>
        <v>3.5282785359788842E-2</v>
      </c>
      <c r="U162" s="19">
        <f t="shared" si="73"/>
        <v>0.48797089713146596</v>
      </c>
      <c r="V162" s="19">
        <f t="shared" si="59"/>
        <v>0</v>
      </c>
      <c r="W162" s="19">
        <f t="shared" si="60"/>
        <v>90.261598253240436</v>
      </c>
      <c r="X162" s="23">
        <f t="shared" si="61"/>
        <v>1201.9185982532404</v>
      </c>
      <c r="Y162" s="22">
        <f>(1/(2*LOG(3.7*$I162/'Calculation Constants'!$B$3*1000)))^2</f>
        <v>9.4904462912918219E-3</v>
      </c>
      <c r="Z162" s="19">
        <f t="shared" si="62"/>
        <v>0.50734754464280807</v>
      </c>
      <c r="AA162" s="19">
        <f>IF($H162&gt;0,'Calculation Constants'!$B$9*Hydraulics!$K162^2/2/9.81/MAX($F$4:$F$253)*$H162,"")</f>
        <v>3.5282785359788842E-2</v>
      </c>
      <c r="AB162" s="19">
        <f t="shared" si="81"/>
        <v>0.54263033000259686</v>
      </c>
      <c r="AC162" s="19">
        <f t="shared" si="63"/>
        <v>0</v>
      </c>
      <c r="AD162" s="19">
        <f t="shared" si="74"/>
        <v>81.625407859594588</v>
      </c>
      <c r="AE162" s="23">
        <f t="shared" si="64"/>
        <v>1193.2824078595945</v>
      </c>
      <c r="AF162" s="27">
        <f>(1/(2*LOG(3.7*$I162/'Calculation Constants'!$B$4*1000)))^2</f>
        <v>1.1152845500629007E-2</v>
      </c>
      <c r="AG162" s="19">
        <f t="shared" si="65"/>
        <v>0.59621735446906032</v>
      </c>
      <c r="AH162" s="19">
        <f>IF($H162&gt;0,'Calculation Constants'!$B$9*Hydraulics!$K162^2/2/9.81/MAX($F$4:$F$253)*$H162,"")</f>
        <v>3.5282785359788842E-2</v>
      </c>
      <c r="AI162" s="19">
        <f t="shared" si="75"/>
        <v>0.63150013982884912</v>
      </c>
      <c r="AJ162" s="19">
        <f t="shared" si="66"/>
        <v>0</v>
      </c>
      <c r="AK162" s="19">
        <f t="shared" si="76"/>
        <v>67.583977907040435</v>
      </c>
      <c r="AL162" s="23">
        <f t="shared" si="67"/>
        <v>1179.2409779070404</v>
      </c>
      <c r="AM162" s="22">
        <f>(1/(2*LOG(3.7*($I162-0.008)/'Calculation Constants'!$B$5*1000)))^2</f>
        <v>1.4104604303736145E-2</v>
      </c>
      <c r="AN162" s="19">
        <f t="shared" si="77"/>
        <v>0.75676661531854661</v>
      </c>
      <c r="AO162" s="19">
        <f>IF($H162&gt;0,'Calculation Constants'!$B$9*Hydraulics!$K162^2/2/9.81/MAX($F$4:$F$253)*$H162,"")</f>
        <v>3.5282785359788842E-2</v>
      </c>
      <c r="AP162" s="19">
        <f t="shared" si="78"/>
        <v>0.7920494006783354</v>
      </c>
      <c r="AQ162" s="19">
        <f t="shared" si="68"/>
        <v>0</v>
      </c>
      <c r="AR162" s="19">
        <f t="shared" si="79"/>
        <v>42.217194692836301</v>
      </c>
      <c r="AS162" s="23">
        <f t="shared" si="69"/>
        <v>1153.8741946928362</v>
      </c>
    </row>
    <row r="163" spans="5:45">
      <c r="E163" s="35" t="str">
        <f t="shared" si="55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0"/>
        <v>2</v>
      </c>
      <c r="I163" s="19">
        <v>2.2000000000000002</v>
      </c>
      <c r="J163" s="36">
        <f>'Flow Rate Calculations'!$B$7</f>
        <v>4.0831050228310497</v>
      </c>
      <c r="K163" s="36">
        <f t="shared" si="70"/>
        <v>1.0741261942924094</v>
      </c>
      <c r="L163" s="37">
        <f>$I163*$K163/'Calculation Constants'!$B$7</f>
        <v>2091219.139330355</v>
      </c>
      <c r="M163" s="37" t="str">
        <f t="shared" si="56"/>
        <v>Greater Dynamic Pressures</v>
      </c>
      <c r="N163" s="23">
        <f t="shared" si="71"/>
        <v>78.495627356109026</v>
      </c>
      <c r="O163" s="56">
        <f t="shared" si="57"/>
        <v>69.804777529592002</v>
      </c>
      <c r="P163" s="65">
        <f>MAX(I163*1000/'Calculation Constants'!$B$14,O163*10*I163*1000/2/('Calculation Constants'!$B$12*1000*'Calculation Constants'!$B$13))</f>
        <v>13.75</v>
      </c>
      <c r="Q163" s="67">
        <f t="shared" si="58"/>
        <v>1482695.7604373412</v>
      </c>
      <c r="R163" s="27">
        <f>(1/(2*LOG(3.7*$I163/'Calculation Constants'!$B$2*1000)))^2</f>
        <v>8.4679866037394684E-3</v>
      </c>
      <c r="S163" s="19">
        <f t="shared" si="72"/>
        <v>0.45268811177167712</v>
      </c>
      <c r="T163" s="19">
        <f>IF($H163&gt;0,'Calculation Constants'!$B$9*Hydraulics!$K163^2/2/9.81/MAX($F$4:$F$253)*$H163,"")</f>
        <v>3.5282785359788842E-2</v>
      </c>
      <c r="U163" s="19">
        <f t="shared" si="73"/>
        <v>0.48797089713146596</v>
      </c>
      <c r="V163" s="19">
        <f t="shared" si="59"/>
        <v>0</v>
      </c>
      <c r="W163" s="19">
        <f t="shared" si="60"/>
        <v>78.495627356109026</v>
      </c>
      <c r="X163" s="23">
        <f t="shared" si="61"/>
        <v>1201.430627356109</v>
      </c>
      <c r="Y163" s="22">
        <f>(1/(2*LOG(3.7*$I163/'Calculation Constants'!$B$3*1000)))^2</f>
        <v>9.4904462912918219E-3</v>
      </c>
      <c r="Z163" s="19">
        <f t="shared" si="62"/>
        <v>0.50734754464280807</v>
      </c>
      <c r="AA163" s="19">
        <f>IF($H163&gt;0,'Calculation Constants'!$B$9*Hydraulics!$K163^2/2/9.81/MAX($F$4:$F$253)*$H163,"")</f>
        <v>3.5282785359788842E-2</v>
      </c>
      <c r="AB163" s="19">
        <f t="shared" si="81"/>
        <v>0.54263033000259686</v>
      </c>
      <c r="AC163" s="19">
        <f t="shared" si="63"/>
        <v>0</v>
      </c>
      <c r="AD163" s="19">
        <f t="shared" si="74"/>
        <v>69.804777529592002</v>
      </c>
      <c r="AE163" s="23">
        <f t="shared" si="64"/>
        <v>1192.7397775295919</v>
      </c>
      <c r="AF163" s="27">
        <f>(1/(2*LOG(3.7*$I163/'Calculation Constants'!$B$4*1000)))^2</f>
        <v>1.1152845500629007E-2</v>
      </c>
      <c r="AG163" s="19">
        <f t="shared" si="65"/>
        <v>0.59621735446906032</v>
      </c>
      <c r="AH163" s="19">
        <f>IF($H163&gt;0,'Calculation Constants'!$B$9*Hydraulics!$K163^2/2/9.81/MAX($F$4:$F$253)*$H163,"")</f>
        <v>3.5282785359788842E-2</v>
      </c>
      <c r="AI163" s="19">
        <f t="shared" si="75"/>
        <v>0.63150013982884912</v>
      </c>
      <c r="AJ163" s="19">
        <f t="shared" si="66"/>
        <v>0</v>
      </c>
      <c r="AK163" s="19">
        <f t="shared" si="76"/>
        <v>55.674477767211556</v>
      </c>
      <c r="AL163" s="23">
        <f t="shared" si="67"/>
        <v>1178.6094777672115</v>
      </c>
      <c r="AM163" s="22">
        <f>(1/(2*LOG(3.7*($I163-0.008)/'Calculation Constants'!$B$5*1000)))^2</f>
        <v>1.4104604303736145E-2</v>
      </c>
      <c r="AN163" s="19">
        <f t="shared" si="77"/>
        <v>0.75676661531854661</v>
      </c>
      <c r="AO163" s="19">
        <f>IF($H163&gt;0,'Calculation Constants'!$B$9*Hydraulics!$K163^2/2/9.81/MAX($F$4:$F$253)*$H163,"")</f>
        <v>3.5282785359788842E-2</v>
      </c>
      <c r="AP163" s="19">
        <f t="shared" si="78"/>
        <v>0.7920494006783354</v>
      </c>
      <c r="AQ163" s="19">
        <f t="shared" si="68"/>
        <v>0</v>
      </c>
      <c r="AR163" s="19">
        <f t="shared" si="79"/>
        <v>30.147145292158029</v>
      </c>
      <c r="AS163" s="23">
        <f t="shared" si="69"/>
        <v>1153.082145292158</v>
      </c>
    </row>
    <row r="164" spans="5:45">
      <c r="E164" s="35" t="str">
        <f t="shared" si="55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0"/>
        <v>2</v>
      </c>
      <c r="I164" s="19">
        <v>2.2000000000000002</v>
      </c>
      <c r="J164" s="36">
        <f>'Flow Rate Calculations'!$B$7</f>
        <v>4.0831050228310497</v>
      </c>
      <c r="K164" s="36">
        <f t="shared" si="70"/>
        <v>1.0741261942924094</v>
      </c>
      <c r="L164" s="37">
        <f>$I164*$K164/'Calculation Constants'!$B$7</f>
        <v>2091219.139330355</v>
      </c>
      <c r="M164" s="37" t="str">
        <f t="shared" si="56"/>
        <v>Greater Dynamic Pressures</v>
      </c>
      <c r="N164" s="23">
        <f t="shared" si="71"/>
        <v>72.745656458977692</v>
      </c>
      <c r="O164" s="56">
        <f t="shared" si="57"/>
        <v>64.000147199589492</v>
      </c>
      <c r="P164" s="65">
        <f>MAX(I164*1000/'Calculation Constants'!$B$14,O164*10*I164*1000/2/('Calculation Constants'!$B$12*1000*'Calculation Constants'!$B$13))</f>
        <v>13.75</v>
      </c>
      <c r="Q164" s="67">
        <f t="shared" si="58"/>
        <v>1482695.7604373412</v>
      </c>
      <c r="R164" s="27">
        <f>(1/(2*LOG(3.7*$I164/'Calculation Constants'!$B$2*1000)))^2</f>
        <v>8.4679866037394684E-3</v>
      </c>
      <c r="S164" s="19">
        <f t="shared" si="72"/>
        <v>0.45268811177167712</v>
      </c>
      <c r="T164" s="19">
        <f>IF($H164&gt;0,'Calculation Constants'!$B$9*Hydraulics!$K164^2/2/9.81/MAX($F$4:$F$253)*$H164,"")</f>
        <v>3.5282785359788842E-2</v>
      </c>
      <c r="U164" s="19">
        <f t="shared" si="73"/>
        <v>0.48797089713146596</v>
      </c>
      <c r="V164" s="19">
        <f t="shared" si="59"/>
        <v>0</v>
      </c>
      <c r="W164" s="19">
        <f t="shared" si="60"/>
        <v>72.745656458977692</v>
      </c>
      <c r="X164" s="23">
        <f t="shared" si="61"/>
        <v>1200.9426564589776</v>
      </c>
      <c r="Y164" s="22">
        <f>(1/(2*LOG(3.7*$I164/'Calculation Constants'!$B$3*1000)))^2</f>
        <v>9.4904462912918219E-3</v>
      </c>
      <c r="Z164" s="19">
        <f t="shared" si="62"/>
        <v>0.50734754464280807</v>
      </c>
      <c r="AA164" s="19">
        <f>IF($H164&gt;0,'Calculation Constants'!$B$9*Hydraulics!$K164^2/2/9.81/MAX($F$4:$F$253)*$H164,"")</f>
        <v>3.5282785359788842E-2</v>
      </c>
      <c r="AB164" s="19">
        <f t="shared" si="81"/>
        <v>0.54263033000259686</v>
      </c>
      <c r="AC164" s="19">
        <f t="shared" si="63"/>
        <v>0</v>
      </c>
      <c r="AD164" s="19">
        <f t="shared" si="74"/>
        <v>64.000147199589492</v>
      </c>
      <c r="AE164" s="23">
        <f t="shared" si="64"/>
        <v>1192.1971471995894</v>
      </c>
      <c r="AF164" s="27">
        <f>(1/(2*LOG(3.7*$I164/'Calculation Constants'!$B$4*1000)))^2</f>
        <v>1.1152845500629007E-2</v>
      </c>
      <c r="AG164" s="19">
        <f t="shared" si="65"/>
        <v>0.59621735446906032</v>
      </c>
      <c r="AH164" s="19">
        <f>IF($H164&gt;0,'Calculation Constants'!$B$9*Hydraulics!$K164^2/2/9.81/MAX($F$4:$F$253)*$H164,"")</f>
        <v>3.5282785359788842E-2</v>
      </c>
      <c r="AI164" s="19">
        <f t="shared" si="75"/>
        <v>0.63150013982884912</v>
      </c>
      <c r="AJ164" s="19">
        <f t="shared" si="66"/>
        <v>0</v>
      </c>
      <c r="AK164" s="19">
        <f t="shared" si="76"/>
        <v>49.780977627382754</v>
      </c>
      <c r="AL164" s="23">
        <f t="shared" si="67"/>
        <v>1177.9779776273826</v>
      </c>
      <c r="AM164" s="22">
        <f>(1/(2*LOG(3.7*($I164-0.008)/'Calculation Constants'!$B$5*1000)))^2</f>
        <v>1.4104604303736145E-2</v>
      </c>
      <c r="AN164" s="19">
        <f t="shared" si="77"/>
        <v>0.75676661531854661</v>
      </c>
      <c r="AO164" s="19">
        <f>IF($H164&gt;0,'Calculation Constants'!$B$9*Hydraulics!$K164^2/2/9.81/MAX($F$4:$F$253)*$H164,"")</f>
        <v>3.5282785359788842E-2</v>
      </c>
      <c r="AP164" s="19">
        <f t="shared" si="78"/>
        <v>0.7920494006783354</v>
      </c>
      <c r="AQ164" s="19">
        <f t="shared" si="68"/>
        <v>0</v>
      </c>
      <c r="AR164" s="19">
        <f t="shared" si="79"/>
        <v>24.093095891479834</v>
      </c>
      <c r="AS164" s="23">
        <f t="shared" si="69"/>
        <v>1152.2900958914797</v>
      </c>
    </row>
    <row r="165" spans="5:45">
      <c r="E165" s="35" t="str">
        <f t="shared" si="55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0"/>
        <v>2</v>
      </c>
      <c r="I165" s="19">
        <v>2.2000000000000002</v>
      </c>
      <c r="J165" s="36">
        <f>'Flow Rate Calculations'!$B$7</f>
        <v>4.0831050228310497</v>
      </c>
      <c r="K165" s="36">
        <f t="shared" si="70"/>
        <v>1.0741261942924094</v>
      </c>
      <c r="L165" s="37">
        <f>$I165*$K165/'Calculation Constants'!$B$7</f>
        <v>2091219.139330355</v>
      </c>
      <c r="M165" s="37" t="str">
        <f t="shared" si="56"/>
        <v>Greater Dynamic Pressures</v>
      </c>
      <c r="N165" s="23">
        <f t="shared" si="71"/>
        <v>67.893685561846269</v>
      </c>
      <c r="O165" s="56">
        <f t="shared" si="57"/>
        <v>59.093516869586892</v>
      </c>
      <c r="P165" s="65">
        <f>MAX(I165*1000/'Calculation Constants'!$B$14,O165*10*I165*1000/2/('Calculation Constants'!$B$12*1000*'Calculation Constants'!$B$13))</f>
        <v>13.75</v>
      </c>
      <c r="Q165" s="67">
        <f t="shared" si="58"/>
        <v>1482695.7604373412</v>
      </c>
      <c r="R165" s="27">
        <f>(1/(2*LOG(3.7*$I165/'Calculation Constants'!$B$2*1000)))^2</f>
        <v>8.4679866037394684E-3</v>
      </c>
      <c r="S165" s="19">
        <f t="shared" si="72"/>
        <v>0.45268811177167712</v>
      </c>
      <c r="T165" s="19">
        <f>IF($H165&gt;0,'Calculation Constants'!$B$9*Hydraulics!$K165^2/2/9.81/MAX($F$4:$F$253)*$H165,"")</f>
        <v>3.5282785359788842E-2</v>
      </c>
      <c r="U165" s="19">
        <f t="shared" si="73"/>
        <v>0.48797089713146596</v>
      </c>
      <c r="V165" s="19">
        <f t="shared" si="59"/>
        <v>0</v>
      </c>
      <c r="W165" s="19">
        <f t="shared" si="60"/>
        <v>67.893685561846269</v>
      </c>
      <c r="X165" s="23">
        <f t="shared" si="61"/>
        <v>1200.4546855618462</v>
      </c>
      <c r="Y165" s="22">
        <f>(1/(2*LOG(3.7*$I165/'Calculation Constants'!$B$3*1000)))^2</f>
        <v>9.4904462912918219E-3</v>
      </c>
      <c r="Z165" s="19">
        <f t="shared" si="62"/>
        <v>0.50734754464280807</v>
      </c>
      <c r="AA165" s="19">
        <f>IF($H165&gt;0,'Calculation Constants'!$B$9*Hydraulics!$K165^2/2/9.81/MAX($F$4:$F$253)*$H165,"")</f>
        <v>3.5282785359788842E-2</v>
      </c>
      <c r="AB165" s="19">
        <f t="shared" si="81"/>
        <v>0.54263033000259686</v>
      </c>
      <c r="AC165" s="19">
        <f t="shared" si="63"/>
        <v>0</v>
      </c>
      <c r="AD165" s="19">
        <f t="shared" si="74"/>
        <v>59.093516869586892</v>
      </c>
      <c r="AE165" s="23">
        <f t="shared" si="64"/>
        <v>1191.6545168695868</v>
      </c>
      <c r="AF165" s="27">
        <f>(1/(2*LOG(3.7*$I165/'Calculation Constants'!$B$4*1000)))^2</f>
        <v>1.1152845500629007E-2</v>
      </c>
      <c r="AG165" s="19">
        <f t="shared" si="65"/>
        <v>0.59621735446906032</v>
      </c>
      <c r="AH165" s="19">
        <f>IF($H165&gt;0,'Calculation Constants'!$B$9*Hydraulics!$K165^2/2/9.81/MAX($F$4:$F$253)*$H165,"")</f>
        <v>3.5282785359788842E-2</v>
      </c>
      <c r="AI165" s="19">
        <f t="shared" si="75"/>
        <v>0.63150013982884912</v>
      </c>
      <c r="AJ165" s="19">
        <f t="shared" si="66"/>
        <v>0</v>
      </c>
      <c r="AK165" s="19">
        <f t="shared" si="76"/>
        <v>44.785477487553862</v>
      </c>
      <c r="AL165" s="23">
        <f t="shared" si="67"/>
        <v>1177.3464774875538</v>
      </c>
      <c r="AM165" s="22">
        <f>(1/(2*LOG(3.7*($I165-0.008)/'Calculation Constants'!$B$5*1000)))^2</f>
        <v>1.4104604303736145E-2</v>
      </c>
      <c r="AN165" s="19">
        <f t="shared" si="77"/>
        <v>0.75676661531854661</v>
      </c>
      <c r="AO165" s="19">
        <f>IF($H165&gt;0,'Calculation Constants'!$B$9*Hydraulics!$K165^2/2/9.81/MAX($F$4:$F$253)*$H165,"")</f>
        <v>3.5282785359788842E-2</v>
      </c>
      <c r="AP165" s="19">
        <f t="shared" si="78"/>
        <v>0.7920494006783354</v>
      </c>
      <c r="AQ165" s="19">
        <f t="shared" si="68"/>
        <v>0</v>
      </c>
      <c r="AR165" s="19">
        <f t="shared" si="79"/>
        <v>18.937046490801549</v>
      </c>
      <c r="AS165" s="23">
        <f t="shared" si="69"/>
        <v>1151.4980464908015</v>
      </c>
    </row>
    <row r="166" spans="5:45">
      <c r="E166" s="35" t="str">
        <f t="shared" si="55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0"/>
        <v>2</v>
      </c>
      <c r="I166" s="19">
        <v>2.2000000000000002</v>
      </c>
      <c r="J166" s="36">
        <f>'Flow Rate Calculations'!$B$7</f>
        <v>4.0831050228310497</v>
      </c>
      <c r="K166" s="36">
        <f t="shared" si="70"/>
        <v>1.0741261942924094</v>
      </c>
      <c r="L166" s="37">
        <f>$I166*$K166/'Calculation Constants'!$B$7</f>
        <v>2091219.139330355</v>
      </c>
      <c r="M166" s="37" t="str">
        <f t="shared" si="56"/>
        <v>Greater Dynamic Pressures</v>
      </c>
      <c r="N166" s="23">
        <f t="shared" si="71"/>
        <v>68.112714664714758</v>
      </c>
      <c r="O166" s="56">
        <f t="shared" si="57"/>
        <v>59.257886539584206</v>
      </c>
      <c r="P166" s="65">
        <f>MAX(I166*1000/'Calculation Constants'!$B$14,O166*10*I166*1000/2/('Calculation Constants'!$B$12*1000*'Calculation Constants'!$B$13))</f>
        <v>13.75</v>
      </c>
      <c r="Q166" s="67">
        <f t="shared" si="58"/>
        <v>1482695.7604373412</v>
      </c>
      <c r="R166" s="27">
        <f>(1/(2*LOG(3.7*$I166/'Calculation Constants'!$B$2*1000)))^2</f>
        <v>8.4679866037394684E-3</v>
      </c>
      <c r="S166" s="19">
        <f t="shared" si="72"/>
        <v>0.45268811177167712</v>
      </c>
      <c r="T166" s="19">
        <f>IF($H166&gt;0,'Calculation Constants'!$B$9*Hydraulics!$K166^2/2/9.81/MAX($F$4:$F$253)*$H166,"")</f>
        <v>3.5282785359788842E-2</v>
      </c>
      <c r="U166" s="19">
        <f t="shared" si="73"/>
        <v>0.48797089713146596</v>
      </c>
      <c r="V166" s="19">
        <f t="shared" si="59"/>
        <v>0</v>
      </c>
      <c r="W166" s="19">
        <f t="shared" si="60"/>
        <v>68.112714664714758</v>
      </c>
      <c r="X166" s="23">
        <f t="shared" si="61"/>
        <v>1199.9667146647148</v>
      </c>
      <c r="Y166" s="22">
        <f>(1/(2*LOG(3.7*$I166/'Calculation Constants'!$B$3*1000)))^2</f>
        <v>9.4904462912918219E-3</v>
      </c>
      <c r="Z166" s="19">
        <f t="shared" si="62"/>
        <v>0.50734754464280807</v>
      </c>
      <c r="AA166" s="19">
        <f>IF($H166&gt;0,'Calculation Constants'!$B$9*Hydraulics!$K166^2/2/9.81/MAX($F$4:$F$253)*$H166,"")</f>
        <v>3.5282785359788842E-2</v>
      </c>
      <c r="AB166" s="19">
        <f t="shared" si="81"/>
        <v>0.54263033000259686</v>
      </c>
      <c r="AC166" s="19">
        <f t="shared" si="63"/>
        <v>0</v>
      </c>
      <c r="AD166" s="19">
        <f t="shared" si="74"/>
        <v>59.257886539584206</v>
      </c>
      <c r="AE166" s="23">
        <f t="shared" si="64"/>
        <v>1191.1118865395842</v>
      </c>
      <c r="AF166" s="27">
        <f>(1/(2*LOG(3.7*$I166/'Calculation Constants'!$B$4*1000)))^2</f>
        <v>1.1152845500629007E-2</v>
      </c>
      <c r="AG166" s="19">
        <f t="shared" si="65"/>
        <v>0.59621735446906032</v>
      </c>
      <c r="AH166" s="19">
        <f>IF($H166&gt;0,'Calculation Constants'!$B$9*Hydraulics!$K166^2/2/9.81/MAX($F$4:$F$253)*$H166,"")</f>
        <v>3.5282785359788842E-2</v>
      </c>
      <c r="AI166" s="19">
        <f t="shared" si="75"/>
        <v>0.63150013982884912</v>
      </c>
      <c r="AJ166" s="19">
        <f t="shared" si="66"/>
        <v>0</v>
      </c>
      <c r="AK166" s="19">
        <f t="shared" si="76"/>
        <v>44.860977347724884</v>
      </c>
      <c r="AL166" s="23">
        <f t="shared" si="67"/>
        <v>1176.7149773477249</v>
      </c>
      <c r="AM166" s="22">
        <f>(1/(2*LOG(3.7*($I166-0.008)/'Calculation Constants'!$B$5*1000)))^2</f>
        <v>1.4104604303736145E-2</v>
      </c>
      <c r="AN166" s="19">
        <f t="shared" si="77"/>
        <v>0.75676661531854661</v>
      </c>
      <c r="AO166" s="19">
        <f>IF($H166&gt;0,'Calculation Constants'!$B$9*Hydraulics!$K166^2/2/9.81/MAX($F$4:$F$253)*$H166,"")</f>
        <v>3.5282785359788842E-2</v>
      </c>
      <c r="AP166" s="19">
        <f t="shared" si="78"/>
        <v>0.7920494006783354</v>
      </c>
      <c r="AQ166" s="19">
        <f t="shared" si="68"/>
        <v>0</v>
      </c>
      <c r="AR166" s="19">
        <f t="shared" si="79"/>
        <v>18.851997090123177</v>
      </c>
      <c r="AS166" s="23">
        <f t="shared" si="69"/>
        <v>1150.7059970901232</v>
      </c>
    </row>
    <row r="167" spans="5:45">
      <c r="E167" s="35" t="str">
        <f t="shared" si="55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0"/>
        <v>2</v>
      </c>
      <c r="I167" s="19">
        <v>2.2000000000000002</v>
      </c>
      <c r="J167" s="36">
        <f>'Flow Rate Calculations'!$B$7</f>
        <v>4.0831050228310497</v>
      </c>
      <c r="K167" s="36">
        <f t="shared" si="70"/>
        <v>1.0741261942924094</v>
      </c>
      <c r="L167" s="37">
        <f>$I167*$K167/'Calculation Constants'!$B$7</f>
        <v>2091219.139330355</v>
      </c>
      <c r="M167" s="37" t="str">
        <f t="shared" si="56"/>
        <v>Greater Dynamic Pressures</v>
      </c>
      <c r="N167" s="23">
        <f t="shared" si="71"/>
        <v>66.140743767583444</v>
      </c>
      <c r="O167" s="56">
        <f t="shared" si="57"/>
        <v>57.231256209581716</v>
      </c>
      <c r="P167" s="65">
        <f>MAX(I167*1000/'Calculation Constants'!$B$14,O167*10*I167*1000/2/('Calculation Constants'!$B$12*1000*'Calculation Constants'!$B$13))</f>
        <v>13.75</v>
      </c>
      <c r="Q167" s="67">
        <f t="shared" si="58"/>
        <v>1482695.7604373412</v>
      </c>
      <c r="R167" s="27">
        <f>(1/(2*LOG(3.7*$I167/'Calculation Constants'!$B$2*1000)))^2</f>
        <v>8.4679866037394684E-3</v>
      </c>
      <c r="S167" s="19">
        <f t="shared" si="72"/>
        <v>0.45268811177167712</v>
      </c>
      <c r="T167" s="19">
        <f>IF($H167&gt;0,'Calculation Constants'!$B$9*Hydraulics!$K167^2/2/9.81/MAX($F$4:$F$253)*$H167,"")</f>
        <v>3.5282785359788842E-2</v>
      </c>
      <c r="U167" s="19">
        <f t="shared" si="73"/>
        <v>0.48797089713146596</v>
      </c>
      <c r="V167" s="19">
        <f t="shared" si="59"/>
        <v>0</v>
      </c>
      <c r="W167" s="19">
        <f t="shared" si="60"/>
        <v>66.140743767583444</v>
      </c>
      <c r="X167" s="23">
        <f t="shared" si="61"/>
        <v>1199.4787437675834</v>
      </c>
      <c r="Y167" s="22">
        <f>(1/(2*LOG(3.7*$I167/'Calculation Constants'!$B$3*1000)))^2</f>
        <v>9.4904462912918219E-3</v>
      </c>
      <c r="Z167" s="19">
        <f t="shared" si="62"/>
        <v>0.50734754464280807</v>
      </c>
      <c r="AA167" s="19">
        <f>IF($H167&gt;0,'Calculation Constants'!$B$9*Hydraulics!$K167^2/2/9.81/MAX($F$4:$F$253)*$H167,"")</f>
        <v>3.5282785359788842E-2</v>
      </c>
      <c r="AB167" s="19">
        <f t="shared" si="81"/>
        <v>0.54263033000259686</v>
      </c>
      <c r="AC167" s="19">
        <f t="shared" si="63"/>
        <v>0</v>
      </c>
      <c r="AD167" s="19">
        <f t="shared" si="74"/>
        <v>57.231256209581716</v>
      </c>
      <c r="AE167" s="23">
        <f t="shared" si="64"/>
        <v>1190.5692562095817</v>
      </c>
      <c r="AF167" s="27">
        <f>(1/(2*LOG(3.7*$I167/'Calculation Constants'!$B$4*1000)))^2</f>
        <v>1.1152845500629007E-2</v>
      </c>
      <c r="AG167" s="19">
        <f t="shared" si="65"/>
        <v>0.59621735446906032</v>
      </c>
      <c r="AH167" s="19">
        <f>IF($H167&gt;0,'Calculation Constants'!$B$9*Hydraulics!$K167^2/2/9.81/MAX($F$4:$F$253)*$H167,"")</f>
        <v>3.5282785359788842E-2</v>
      </c>
      <c r="AI167" s="19">
        <f t="shared" si="75"/>
        <v>0.63150013982884912</v>
      </c>
      <c r="AJ167" s="19">
        <f t="shared" si="66"/>
        <v>0</v>
      </c>
      <c r="AK167" s="19">
        <f t="shared" si="76"/>
        <v>42.745477207896101</v>
      </c>
      <c r="AL167" s="23">
        <f t="shared" si="67"/>
        <v>1176.0834772078961</v>
      </c>
      <c r="AM167" s="22">
        <f>(1/(2*LOG(3.7*($I167-0.008)/'Calculation Constants'!$B$5*1000)))^2</f>
        <v>1.4104604303736145E-2</v>
      </c>
      <c r="AN167" s="19">
        <f t="shared" si="77"/>
        <v>0.75676661531854661</v>
      </c>
      <c r="AO167" s="19">
        <f>IF($H167&gt;0,'Calculation Constants'!$B$9*Hydraulics!$K167^2/2/9.81/MAX($F$4:$F$253)*$H167,"")</f>
        <v>3.5282785359788842E-2</v>
      </c>
      <c r="AP167" s="19">
        <f t="shared" si="78"/>
        <v>0.7920494006783354</v>
      </c>
      <c r="AQ167" s="19">
        <f t="shared" si="68"/>
        <v>0</v>
      </c>
      <c r="AR167" s="19">
        <f t="shared" si="79"/>
        <v>16.575947689445002</v>
      </c>
      <c r="AS167" s="23">
        <f t="shared" si="69"/>
        <v>1149.913947689445</v>
      </c>
    </row>
    <row r="168" spans="5:45">
      <c r="E168" s="35" t="str">
        <f t="shared" si="55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0"/>
        <v>2</v>
      </c>
      <c r="I168" s="19">
        <v>1.8</v>
      </c>
      <c r="J168" s="36">
        <f>'Flow Rate Calculations'!$B$7</f>
        <v>4.0831050228310497</v>
      </c>
      <c r="K168" s="36">
        <f t="shared" si="70"/>
        <v>1.6045588828318709</v>
      </c>
      <c r="L168" s="37">
        <f>$I168*$K168/'Calculation Constants'!$B$7</f>
        <v>2555934.503625989</v>
      </c>
      <c r="M168" s="37" t="str">
        <f t="shared" si="56"/>
        <v>Greater Dynamic Pressures</v>
      </c>
      <c r="N168" s="23">
        <f t="shared" si="71"/>
        <v>61.719761814039657</v>
      </c>
      <c r="O168" s="56">
        <f t="shared" si="57"/>
        <v>52.653558746188537</v>
      </c>
      <c r="P168" s="65">
        <f>MAX(I168*1000/'Calculation Constants'!$B$14,O168*10*I168*1000/2/('Calculation Constants'!$B$12*1000*'Calculation Constants'!$B$13))</f>
        <v>11.25</v>
      </c>
      <c r="Q168" s="67">
        <f t="shared" si="58"/>
        <v>992548.40161508287</v>
      </c>
      <c r="R168" s="27">
        <f>(1/(2*LOG(3.7*$I168/'Calculation Constants'!$B$2*1000)))^2</f>
        <v>8.7463077071963571E-3</v>
      </c>
      <c r="S168" s="19">
        <f t="shared" si="72"/>
        <v>1.2752477269849725</v>
      </c>
      <c r="T168" s="19">
        <f>IF($H168&gt;0,'Calculation Constants'!$B$9*Hydraulics!$K168^2/2/9.81/MAX($F$4:$F$253)*$H168,"")</f>
        <v>7.8734226558858159E-2</v>
      </c>
      <c r="U168" s="19">
        <f t="shared" si="73"/>
        <v>1.3539819535438307</v>
      </c>
      <c r="V168" s="19">
        <f t="shared" si="59"/>
        <v>0</v>
      </c>
      <c r="W168" s="19">
        <f t="shared" si="60"/>
        <v>61.719761814039657</v>
      </c>
      <c r="X168" s="23">
        <f t="shared" si="61"/>
        <v>1198.1247618140396</v>
      </c>
      <c r="Y168" s="22">
        <f>(1/(2*LOG(3.7*$I168/'Calculation Constants'!$B$3*1000)))^2</f>
        <v>9.8211436332891755E-3</v>
      </c>
      <c r="Z168" s="19">
        <f t="shared" si="62"/>
        <v>1.431963236834217</v>
      </c>
      <c r="AA168" s="19">
        <f>IF($H168&gt;0,'Calculation Constants'!$B$9*Hydraulics!$K168^2/2/9.81/MAX($F$4:$F$253)*$H168,"")</f>
        <v>7.8734226558858159E-2</v>
      </c>
      <c r="AB168" s="19">
        <f t="shared" si="81"/>
        <v>1.5106974633930752</v>
      </c>
      <c r="AC168" s="19">
        <f t="shared" si="63"/>
        <v>0</v>
      </c>
      <c r="AD168" s="19">
        <f t="shared" si="74"/>
        <v>52.653558746188537</v>
      </c>
      <c r="AE168" s="23">
        <f t="shared" si="64"/>
        <v>1189.0585587461885</v>
      </c>
      <c r="AF168" s="27">
        <f>(1/(2*LOG(3.7*$I168/'Calculation Constants'!$B$4*1000)))^2</f>
        <v>1.1575055557914658E-2</v>
      </c>
      <c r="AG168" s="19">
        <f t="shared" si="65"/>
        <v>1.6876908272744866</v>
      </c>
      <c r="AH168" s="19">
        <f>IF($H168&gt;0,'Calculation Constants'!$B$9*Hydraulics!$K168^2/2/9.81/MAX($F$4:$F$253)*$H168,"")</f>
        <v>7.8734226558858159E-2</v>
      </c>
      <c r="AI168" s="19">
        <f t="shared" si="75"/>
        <v>1.7664250538333448</v>
      </c>
      <c r="AJ168" s="19">
        <f t="shared" si="66"/>
        <v>0</v>
      </c>
      <c r="AK168" s="19">
        <f t="shared" si="76"/>
        <v>37.912052154062849</v>
      </c>
      <c r="AL168" s="23">
        <f t="shared" si="67"/>
        <v>1174.3170521540628</v>
      </c>
      <c r="AM168" s="22">
        <f>(1/(2*LOG(3.7*($I168-0.008)/'Calculation Constants'!$B$5*1000)))^2</f>
        <v>1.4709705891825043E-2</v>
      </c>
      <c r="AN168" s="19">
        <f t="shared" si="77"/>
        <v>2.1543104841910781</v>
      </c>
      <c r="AO168" s="19">
        <f>IF($H168&gt;0,'Calculation Constants'!$B$9*Hydraulics!$K168^2/2/9.81/MAX($F$4:$F$253)*$H168,"")</f>
        <v>7.8734226558858159E-2</v>
      </c>
      <c r="AP168" s="19">
        <f t="shared" si="78"/>
        <v>2.2330447107499363</v>
      </c>
      <c r="AQ168" s="19">
        <f t="shared" si="68"/>
        <v>0</v>
      </c>
      <c r="AR168" s="19">
        <f t="shared" si="79"/>
        <v>11.275902978695058</v>
      </c>
      <c r="AS168" s="23">
        <f t="shared" si="69"/>
        <v>1147.680902978695</v>
      </c>
    </row>
    <row r="169" spans="5:45">
      <c r="E169" s="35" t="str">
        <f t="shared" si="55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0"/>
        <v>2</v>
      </c>
      <c r="I169" s="19">
        <v>1.8</v>
      </c>
      <c r="J169" s="36">
        <f>'Flow Rate Calculations'!$B$7</f>
        <v>4.0831050228310497</v>
      </c>
      <c r="K169" s="36">
        <f t="shared" si="70"/>
        <v>1.6045588828318709</v>
      </c>
      <c r="L169" s="37">
        <f>$I169*$K169/'Calculation Constants'!$B$7</f>
        <v>2555934.503625989</v>
      </c>
      <c r="M169" s="37" t="str">
        <f t="shared" si="56"/>
        <v>Greater Dynamic Pressures</v>
      </c>
      <c r="N169" s="23">
        <f t="shared" si="71"/>
        <v>68.06177986049579</v>
      </c>
      <c r="O169" s="56">
        <f t="shared" si="57"/>
        <v>58.838861282795278</v>
      </c>
      <c r="P169" s="65">
        <f>MAX(I169*1000/'Calculation Constants'!$B$14,O169*10*I169*1000/2/('Calculation Constants'!$B$12*1000*'Calculation Constants'!$B$13))</f>
        <v>11.25</v>
      </c>
      <c r="Q169" s="67">
        <f t="shared" si="58"/>
        <v>992548.40161508287</v>
      </c>
      <c r="R169" s="27">
        <f>(1/(2*LOG(3.7*$I169/'Calculation Constants'!$B$2*1000)))^2</f>
        <v>8.7463077071963571E-3</v>
      </c>
      <c r="S169" s="19">
        <f t="shared" si="72"/>
        <v>1.2752477269849725</v>
      </c>
      <c r="T169" s="19">
        <f>IF($H169&gt;0,'Calculation Constants'!$B$9*Hydraulics!$K169^2/2/9.81/MAX($F$4:$F$253)*$H169,"")</f>
        <v>7.8734226558858159E-2</v>
      </c>
      <c r="U169" s="19">
        <f t="shared" si="73"/>
        <v>1.3539819535438307</v>
      </c>
      <c r="V169" s="19">
        <f t="shared" si="59"/>
        <v>0</v>
      </c>
      <c r="W169" s="19">
        <f t="shared" si="60"/>
        <v>68.06177986049579</v>
      </c>
      <c r="X169" s="23">
        <f t="shared" si="61"/>
        <v>1196.7707798604958</v>
      </c>
      <c r="Y169" s="22">
        <f>(1/(2*LOG(3.7*$I169/'Calculation Constants'!$B$3*1000)))^2</f>
        <v>9.8211436332891755E-3</v>
      </c>
      <c r="Z169" s="19">
        <f t="shared" si="62"/>
        <v>1.431963236834217</v>
      </c>
      <c r="AA169" s="19">
        <f>IF($H169&gt;0,'Calculation Constants'!$B$9*Hydraulics!$K169^2/2/9.81/MAX($F$4:$F$253)*$H169,"")</f>
        <v>7.8734226558858159E-2</v>
      </c>
      <c r="AB169" s="19">
        <f t="shared" si="81"/>
        <v>1.5106974633930752</v>
      </c>
      <c r="AC169" s="19">
        <f t="shared" si="63"/>
        <v>0</v>
      </c>
      <c r="AD169" s="19">
        <f t="shared" si="74"/>
        <v>58.838861282795278</v>
      </c>
      <c r="AE169" s="23">
        <f t="shared" si="64"/>
        <v>1187.5478612827953</v>
      </c>
      <c r="AF169" s="27">
        <f>(1/(2*LOG(3.7*$I169/'Calculation Constants'!$B$4*1000)))^2</f>
        <v>1.1575055557914658E-2</v>
      </c>
      <c r="AG169" s="19">
        <f t="shared" si="65"/>
        <v>1.6876908272744866</v>
      </c>
      <c r="AH169" s="19">
        <f>IF($H169&gt;0,'Calculation Constants'!$B$9*Hydraulics!$K169^2/2/9.81/MAX($F$4:$F$253)*$H169,"")</f>
        <v>7.8734226558858159E-2</v>
      </c>
      <c r="AI169" s="19">
        <f t="shared" si="75"/>
        <v>1.7664250538333448</v>
      </c>
      <c r="AJ169" s="19">
        <f t="shared" si="66"/>
        <v>0</v>
      </c>
      <c r="AK169" s="19">
        <f t="shared" si="76"/>
        <v>43.841627100229516</v>
      </c>
      <c r="AL169" s="23">
        <f t="shared" si="67"/>
        <v>1172.5506271002296</v>
      </c>
      <c r="AM169" s="22">
        <f>(1/(2*LOG(3.7*($I169-0.008)/'Calculation Constants'!$B$5*1000)))^2</f>
        <v>1.4709705891825043E-2</v>
      </c>
      <c r="AN169" s="19">
        <f t="shared" si="77"/>
        <v>2.1543104841910781</v>
      </c>
      <c r="AO169" s="19">
        <f>IF($H169&gt;0,'Calculation Constants'!$B$9*Hydraulics!$K169^2/2/9.81/MAX($F$4:$F$253)*$H169,"")</f>
        <v>7.8734226558858159E-2</v>
      </c>
      <c r="AP169" s="19">
        <f t="shared" si="78"/>
        <v>2.2330447107499363</v>
      </c>
      <c r="AQ169" s="19">
        <f t="shared" si="68"/>
        <v>0</v>
      </c>
      <c r="AR169" s="19">
        <f t="shared" si="79"/>
        <v>16.738858267945034</v>
      </c>
      <c r="AS169" s="23">
        <f t="shared" si="69"/>
        <v>1145.4478582679451</v>
      </c>
    </row>
    <row r="170" spans="5:45">
      <c r="E170" s="35" t="str">
        <f t="shared" si="55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0"/>
        <v>2</v>
      </c>
      <c r="I170" s="19">
        <v>1.8</v>
      </c>
      <c r="J170" s="36">
        <f>'Flow Rate Calculations'!$B$7</f>
        <v>4.0831050228310497</v>
      </c>
      <c r="K170" s="36">
        <f t="shared" si="70"/>
        <v>1.6045588828318709</v>
      </c>
      <c r="L170" s="37">
        <f>$I170*$K170/'Calculation Constants'!$B$7</f>
        <v>2555934.503625989</v>
      </c>
      <c r="M170" s="37" t="str">
        <f t="shared" si="56"/>
        <v>Greater Dynamic Pressures</v>
      </c>
      <c r="N170" s="23">
        <f t="shared" si="71"/>
        <v>74.703797906952104</v>
      </c>
      <c r="O170" s="56">
        <f t="shared" si="57"/>
        <v>65.324163819402202</v>
      </c>
      <c r="P170" s="65">
        <f>MAX(I170*1000/'Calculation Constants'!$B$14,O170*10*I170*1000/2/('Calculation Constants'!$B$12*1000*'Calculation Constants'!$B$13))</f>
        <v>11.25</v>
      </c>
      <c r="Q170" s="67">
        <f t="shared" si="58"/>
        <v>992548.40161508287</v>
      </c>
      <c r="R170" s="27">
        <f>(1/(2*LOG(3.7*$I170/'Calculation Constants'!$B$2*1000)))^2</f>
        <v>8.7463077071963571E-3</v>
      </c>
      <c r="S170" s="19">
        <f t="shared" si="72"/>
        <v>1.2752477269849725</v>
      </c>
      <c r="T170" s="19">
        <f>IF($H170&gt;0,'Calculation Constants'!$B$9*Hydraulics!$K170^2/2/9.81/MAX($F$4:$F$253)*$H170,"")</f>
        <v>7.8734226558858159E-2</v>
      </c>
      <c r="U170" s="19">
        <f t="shared" si="73"/>
        <v>1.3539819535438307</v>
      </c>
      <c r="V170" s="19">
        <f t="shared" si="59"/>
        <v>0</v>
      </c>
      <c r="W170" s="19">
        <f t="shared" si="60"/>
        <v>74.703797906952104</v>
      </c>
      <c r="X170" s="23">
        <f t="shared" si="61"/>
        <v>1195.4167979069521</v>
      </c>
      <c r="Y170" s="22">
        <f>(1/(2*LOG(3.7*$I170/'Calculation Constants'!$B$3*1000)))^2</f>
        <v>9.8211436332891755E-3</v>
      </c>
      <c r="Z170" s="19">
        <f t="shared" si="62"/>
        <v>1.431963236834217</v>
      </c>
      <c r="AA170" s="19">
        <f>IF($H170&gt;0,'Calculation Constants'!$B$9*Hydraulics!$K170^2/2/9.81/MAX($F$4:$F$253)*$H170,"")</f>
        <v>7.8734226558858159E-2</v>
      </c>
      <c r="AB170" s="19">
        <f t="shared" si="81"/>
        <v>1.5106974633930752</v>
      </c>
      <c r="AC170" s="19">
        <f t="shared" si="63"/>
        <v>0</v>
      </c>
      <c r="AD170" s="19">
        <f t="shared" si="74"/>
        <v>65.324163819402202</v>
      </c>
      <c r="AE170" s="23">
        <f t="shared" si="64"/>
        <v>1186.0371638194022</v>
      </c>
      <c r="AF170" s="27">
        <f>(1/(2*LOG(3.7*$I170/'Calculation Constants'!$B$4*1000)))^2</f>
        <v>1.1575055557914658E-2</v>
      </c>
      <c r="AG170" s="19">
        <f t="shared" si="65"/>
        <v>1.6876908272744866</v>
      </c>
      <c r="AH170" s="19">
        <f>IF($H170&gt;0,'Calculation Constants'!$B$9*Hydraulics!$K170^2/2/9.81/MAX($F$4:$F$253)*$H170,"")</f>
        <v>7.8734226558858159E-2</v>
      </c>
      <c r="AI170" s="19">
        <f t="shared" si="75"/>
        <v>1.7664250538333448</v>
      </c>
      <c r="AJ170" s="19">
        <f t="shared" si="66"/>
        <v>0</v>
      </c>
      <c r="AK170" s="19">
        <f t="shared" si="76"/>
        <v>50.071202046396365</v>
      </c>
      <c r="AL170" s="23">
        <f t="shared" si="67"/>
        <v>1170.7842020463963</v>
      </c>
      <c r="AM170" s="22">
        <f>(1/(2*LOG(3.7*($I170-0.008)/'Calculation Constants'!$B$5*1000)))^2</f>
        <v>1.4709705891825043E-2</v>
      </c>
      <c r="AN170" s="19">
        <f t="shared" si="77"/>
        <v>2.1543104841910781</v>
      </c>
      <c r="AO170" s="19">
        <f>IF($H170&gt;0,'Calculation Constants'!$B$9*Hydraulics!$K170^2/2/9.81/MAX($F$4:$F$253)*$H170,"")</f>
        <v>7.8734226558858159E-2</v>
      </c>
      <c r="AP170" s="19">
        <f t="shared" si="78"/>
        <v>2.2330447107499363</v>
      </c>
      <c r="AQ170" s="19">
        <f t="shared" si="68"/>
        <v>0</v>
      </c>
      <c r="AR170" s="19">
        <f t="shared" si="79"/>
        <v>22.501813557195192</v>
      </c>
      <c r="AS170" s="23">
        <f t="shared" si="69"/>
        <v>1143.2148135571952</v>
      </c>
    </row>
    <row r="171" spans="5:45">
      <c r="E171" s="35" t="str">
        <f t="shared" si="55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0"/>
        <v>2</v>
      </c>
      <c r="I171" s="19">
        <v>1.8</v>
      </c>
      <c r="J171" s="36">
        <f>'Flow Rate Calculations'!$B$7</f>
        <v>4.0831050228310497</v>
      </c>
      <c r="K171" s="36">
        <f t="shared" si="70"/>
        <v>1.6045588828318709</v>
      </c>
      <c r="L171" s="37">
        <f>$I171*$K171/'Calculation Constants'!$B$7</f>
        <v>2555934.503625989</v>
      </c>
      <c r="M171" s="37" t="str">
        <f t="shared" si="56"/>
        <v>Greater Dynamic Pressures</v>
      </c>
      <c r="N171" s="23">
        <f t="shared" si="71"/>
        <v>78.836815953408177</v>
      </c>
      <c r="O171" s="56">
        <f t="shared" si="57"/>
        <v>69.300466356008883</v>
      </c>
      <c r="P171" s="65">
        <f>MAX(I171*1000/'Calculation Constants'!$B$14,O171*10*I171*1000/2/('Calculation Constants'!$B$12*1000*'Calculation Constants'!$B$13))</f>
        <v>11.25</v>
      </c>
      <c r="Q171" s="67">
        <f t="shared" si="58"/>
        <v>992548.40161508287</v>
      </c>
      <c r="R171" s="27">
        <f>(1/(2*LOG(3.7*$I171/'Calculation Constants'!$B$2*1000)))^2</f>
        <v>8.7463077071963571E-3</v>
      </c>
      <c r="S171" s="19">
        <f t="shared" si="72"/>
        <v>1.2752477269849725</v>
      </c>
      <c r="T171" s="19">
        <f>IF($H171&gt;0,'Calculation Constants'!$B$9*Hydraulics!$K171^2/2/9.81/MAX($F$4:$F$253)*$H171,"")</f>
        <v>7.8734226558858159E-2</v>
      </c>
      <c r="U171" s="19">
        <f t="shared" si="73"/>
        <v>1.3539819535438307</v>
      </c>
      <c r="V171" s="19">
        <f t="shared" si="59"/>
        <v>0</v>
      </c>
      <c r="W171" s="19">
        <f t="shared" si="60"/>
        <v>78.836815953408177</v>
      </c>
      <c r="X171" s="23">
        <f t="shared" si="61"/>
        <v>1194.0628159534083</v>
      </c>
      <c r="Y171" s="22">
        <f>(1/(2*LOG(3.7*$I171/'Calculation Constants'!$B$3*1000)))^2</f>
        <v>9.8211436332891755E-3</v>
      </c>
      <c r="Z171" s="19">
        <f t="shared" si="62"/>
        <v>1.431963236834217</v>
      </c>
      <c r="AA171" s="19">
        <f>IF($H171&gt;0,'Calculation Constants'!$B$9*Hydraulics!$K171^2/2/9.81/MAX($F$4:$F$253)*$H171,"")</f>
        <v>7.8734226558858159E-2</v>
      </c>
      <c r="AB171" s="19">
        <f t="shared" si="81"/>
        <v>1.5106974633930752</v>
      </c>
      <c r="AC171" s="19">
        <f t="shared" si="63"/>
        <v>0</v>
      </c>
      <c r="AD171" s="19">
        <f t="shared" si="74"/>
        <v>69.300466356008883</v>
      </c>
      <c r="AE171" s="23">
        <f t="shared" si="64"/>
        <v>1184.526466356009</v>
      </c>
      <c r="AF171" s="27">
        <f>(1/(2*LOG(3.7*$I171/'Calculation Constants'!$B$4*1000)))^2</f>
        <v>1.1575055557914658E-2</v>
      </c>
      <c r="AG171" s="19">
        <f t="shared" si="65"/>
        <v>1.6876908272744866</v>
      </c>
      <c r="AH171" s="19">
        <f>IF($H171&gt;0,'Calculation Constants'!$B$9*Hydraulics!$K171^2/2/9.81/MAX($F$4:$F$253)*$H171,"")</f>
        <v>7.8734226558858159E-2</v>
      </c>
      <c r="AI171" s="19">
        <f t="shared" si="75"/>
        <v>1.7664250538333448</v>
      </c>
      <c r="AJ171" s="19">
        <f t="shared" si="66"/>
        <v>0</v>
      </c>
      <c r="AK171" s="19">
        <f t="shared" si="76"/>
        <v>53.791776992562973</v>
      </c>
      <c r="AL171" s="23">
        <f t="shared" si="67"/>
        <v>1169.0177769925631</v>
      </c>
      <c r="AM171" s="22">
        <f>(1/(2*LOG(3.7*($I171-0.008)/'Calculation Constants'!$B$5*1000)))^2</f>
        <v>1.4709705891825043E-2</v>
      </c>
      <c r="AN171" s="19">
        <f t="shared" si="77"/>
        <v>2.1543104841910781</v>
      </c>
      <c r="AO171" s="19">
        <f>IF($H171&gt;0,'Calculation Constants'!$B$9*Hydraulics!$K171^2/2/9.81/MAX($F$4:$F$253)*$H171,"")</f>
        <v>7.8734226558858159E-2</v>
      </c>
      <c r="AP171" s="19">
        <f t="shared" si="78"/>
        <v>2.2330447107499363</v>
      </c>
      <c r="AQ171" s="19">
        <f t="shared" si="68"/>
        <v>0</v>
      </c>
      <c r="AR171" s="19">
        <f t="shared" si="79"/>
        <v>25.755768846445108</v>
      </c>
      <c r="AS171" s="23">
        <f t="shared" si="69"/>
        <v>1140.9817688464452</v>
      </c>
    </row>
    <row r="172" spans="5:45">
      <c r="E172" s="35" t="str">
        <f t="shared" si="55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0"/>
        <v>2</v>
      </c>
      <c r="I172" s="19">
        <v>1.8</v>
      </c>
      <c r="J172" s="36">
        <f>'Flow Rate Calculations'!$B$7</f>
        <v>4.0831050228310497</v>
      </c>
      <c r="K172" s="36">
        <f t="shared" si="70"/>
        <v>1.6045588828318709</v>
      </c>
      <c r="L172" s="37">
        <f>$I172*$K172/'Calculation Constants'!$B$7</f>
        <v>2555934.503625989</v>
      </c>
      <c r="M172" s="37" t="str">
        <f t="shared" si="56"/>
        <v>Greater Dynamic Pressures</v>
      </c>
      <c r="N172" s="23">
        <f t="shared" si="71"/>
        <v>83.99983399986445</v>
      </c>
      <c r="O172" s="56">
        <f t="shared" si="57"/>
        <v>74.306768892615764</v>
      </c>
      <c r="P172" s="65">
        <f>MAX(I172*1000/'Calculation Constants'!$B$14,O172*10*I172*1000/2/('Calculation Constants'!$B$12*1000*'Calculation Constants'!$B$13))</f>
        <v>11.25</v>
      </c>
      <c r="Q172" s="67">
        <f t="shared" si="58"/>
        <v>992548.40161508287</v>
      </c>
      <c r="R172" s="27">
        <f>(1/(2*LOG(3.7*$I172/'Calculation Constants'!$B$2*1000)))^2</f>
        <v>8.7463077071963571E-3</v>
      </c>
      <c r="S172" s="19">
        <f t="shared" si="72"/>
        <v>1.2752477269849725</v>
      </c>
      <c r="T172" s="19">
        <f>IF($H172&gt;0,'Calculation Constants'!$B$9*Hydraulics!$K172^2/2/9.81/MAX($F$4:$F$253)*$H172,"")</f>
        <v>7.8734226558858159E-2</v>
      </c>
      <c r="U172" s="19">
        <f t="shared" si="73"/>
        <v>1.3539819535438307</v>
      </c>
      <c r="V172" s="19">
        <f t="shared" si="59"/>
        <v>0</v>
      </c>
      <c r="W172" s="19">
        <f t="shared" si="60"/>
        <v>83.99983399986445</v>
      </c>
      <c r="X172" s="23">
        <f t="shared" si="61"/>
        <v>1192.7088339998645</v>
      </c>
      <c r="Y172" s="22">
        <f>(1/(2*LOG(3.7*$I172/'Calculation Constants'!$B$3*1000)))^2</f>
        <v>9.8211436332891755E-3</v>
      </c>
      <c r="Z172" s="19">
        <f t="shared" si="62"/>
        <v>1.431963236834217</v>
      </c>
      <c r="AA172" s="19">
        <f>IF($H172&gt;0,'Calculation Constants'!$B$9*Hydraulics!$K172^2/2/9.81/MAX($F$4:$F$253)*$H172,"")</f>
        <v>7.8734226558858159E-2</v>
      </c>
      <c r="AB172" s="19">
        <f t="shared" si="81"/>
        <v>1.5106974633930752</v>
      </c>
      <c r="AC172" s="19">
        <f t="shared" si="63"/>
        <v>0</v>
      </c>
      <c r="AD172" s="19">
        <f t="shared" si="74"/>
        <v>74.306768892615764</v>
      </c>
      <c r="AE172" s="23">
        <f t="shared" si="64"/>
        <v>1183.0157688926158</v>
      </c>
      <c r="AF172" s="27">
        <f>(1/(2*LOG(3.7*$I172/'Calculation Constants'!$B$4*1000)))^2</f>
        <v>1.1575055557914658E-2</v>
      </c>
      <c r="AG172" s="19">
        <f t="shared" si="65"/>
        <v>1.6876908272744866</v>
      </c>
      <c r="AH172" s="19">
        <f>IF($H172&gt;0,'Calculation Constants'!$B$9*Hydraulics!$K172^2/2/9.81/MAX($F$4:$F$253)*$H172,"")</f>
        <v>7.8734226558858159E-2</v>
      </c>
      <c r="AI172" s="19">
        <f t="shared" si="75"/>
        <v>1.7664250538333448</v>
      </c>
      <c r="AJ172" s="19">
        <f t="shared" si="66"/>
        <v>0</v>
      </c>
      <c r="AK172" s="19">
        <f t="shared" si="76"/>
        <v>58.54235193872978</v>
      </c>
      <c r="AL172" s="23">
        <f t="shared" si="67"/>
        <v>1167.2513519387298</v>
      </c>
      <c r="AM172" s="22">
        <f>(1/(2*LOG(3.7*($I172-0.008)/'Calculation Constants'!$B$5*1000)))^2</f>
        <v>1.4709705891825043E-2</v>
      </c>
      <c r="AN172" s="19">
        <f t="shared" si="77"/>
        <v>2.1543104841910781</v>
      </c>
      <c r="AO172" s="19">
        <f>IF($H172&gt;0,'Calculation Constants'!$B$9*Hydraulics!$K172^2/2/9.81/MAX($F$4:$F$253)*$H172,"")</f>
        <v>7.8734226558858159E-2</v>
      </c>
      <c r="AP172" s="19">
        <f t="shared" si="78"/>
        <v>2.2330447107499363</v>
      </c>
      <c r="AQ172" s="19">
        <f t="shared" si="68"/>
        <v>0</v>
      </c>
      <c r="AR172" s="19">
        <f t="shared" si="79"/>
        <v>30.039724135695224</v>
      </c>
      <c r="AS172" s="23">
        <f t="shared" si="69"/>
        <v>1138.7487241356953</v>
      </c>
    </row>
    <row r="173" spans="5:45">
      <c r="E173" s="35" t="str">
        <f t="shared" si="55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0"/>
        <v>2</v>
      </c>
      <c r="I173" s="19">
        <v>1.8</v>
      </c>
      <c r="J173" s="36">
        <f>'Flow Rate Calculations'!$B$7</f>
        <v>4.0831050228310497</v>
      </c>
      <c r="K173" s="36">
        <f t="shared" si="70"/>
        <v>1.6045588828318709</v>
      </c>
      <c r="L173" s="37">
        <f>$I173*$K173/'Calculation Constants'!$B$7</f>
        <v>2555934.503625989</v>
      </c>
      <c r="M173" s="37" t="str">
        <f t="shared" si="56"/>
        <v>Greater Dynamic Pressures</v>
      </c>
      <c r="N173" s="23">
        <f t="shared" si="71"/>
        <v>88.855852046320706</v>
      </c>
      <c r="O173" s="56">
        <f t="shared" si="57"/>
        <v>79.006071429222629</v>
      </c>
      <c r="P173" s="65">
        <f>MAX(I173*1000/'Calculation Constants'!$B$14,O173*10*I173*1000/2/('Calculation Constants'!$B$12*1000*'Calculation Constants'!$B$13))</f>
        <v>11.25</v>
      </c>
      <c r="Q173" s="67">
        <f t="shared" si="58"/>
        <v>992548.40161508287</v>
      </c>
      <c r="R173" s="27">
        <f>(1/(2*LOG(3.7*$I173/'Calculation Constants'!$B$2*1000)))^2</f>
        <v>8.7463077071963571E-3</v>
      </c>
      <c r="S173" s="19">
        <f t="shared" si="72"/>
        <v>1.2752477269849725</v>
      </c>
      <c r="T173" s="19">
        <f>IF($H173&gt;0,'Calculation Constants'!$B$9*Hydraulics!$K173^2/2/9.81/MAX($F$4:$F$253)*$H173,"")</f>
        <v>7.8734226558858159E-2</v>
      </c>
      <c r="U173" s="19">
        <f t="shared" si="73"/>
        <v>1.3539819535438307</v>
      </c>
      <c r="V173" s="19">
        <f t="shared" si="59"/>
        <v>0</v>
      </c>
      <c r="W173" s="19">
        <f t="shared" si="60"/>
        <v>88.855852046320706</v>
      </c>
      <c r="X173" s="23">
        <f t="shared" si="61"/>
        <v>1191.3548520463207</v>
      </c>
      <c r="Y173" s="22">
        <f>(1/(2*LOG(3.7*$I173/'Calculation Constants'!$B$3*1000)))^2</f>
        <v>9.8211436332891755E-3</v>
      </c>
      <c r="Z173" s="19">
        <f t="shared" si="62"/>
        <v>1.431963236834217</v>
      </c>
      <c r="AA173" s="19">
        <f>IF($H173&gt;0,'Calculation Constants'!$B$9*Hydraulics!$K173^2/2/9.81/MAX($F$4:$F$253)*$H173,"")</f>
        <v>7.8734226558858159E-2</v>
      </c>
      <c r="AB173" s="19">
        <f t="shared" si="81"/>
        <v>1.5106974633930752</v>
      </c>
      <c r="AC173" s="19">
        <f t="shared" si="63"/>
        <v>0</v>
      </c>
      <c r="AD173" s="19">
        <f t="shared" si="74"/>
        <v>79.006071429222629</v>
      </c>
      <c r="AE173" s="23">
        <f t="shared" si="64"/>
        <v>1181.5050714292227</v>
      </c>
      <c r="AF173" s="27">
        <f>(1/(2*LOG(3.7*$I173/'Calculation Constants'!$B$4*1000)))^2</f>
        <v>1.1575055557914658E-2</v>
      </c>
      <c r="AG173" s="19">
        <f t="shared" si="65"/>
        <v>1.6876908272744866</v>
      </c>
      <c r="AH173" s="19">
        <f>IF($H173&gt;0,'Calculation Constants'!$B$9*Hydraulics!$K173^2/2/9.81/MAX($F$4:$F$253)*$H173,"")</f>
        <v>7.8734226558858159E-2</v>
      </c>
      <c r="AI173" s="19">
        <f t="shared" si="75"/>
        <v>1.7664250538333448</v>
      </c>
      <c r="AJ173" s="19">
        <f t="shared" si="66"/>
        <v>0</v>
      </c>
      <c r="AK173" s="19">
        <f t="shared" si="76"/>
        <v>62.985926884896571</v>
      </c>
      <c r="AL173" s="23">
        <f t="shared" si="67"/>
        <v>1165.4849268848966</v>
      </c>
      <c r="AM173" s="22">
        <f>(1/(2*LOG(3.7*($I173-0.008)/'Calculation Constants'!$B$5*1000)))^2</f>
        <v>1.4709705891825043E-2</v>
      </c>
      <c r="AN173" s="19">
        <f t="shared" si="77"/>
        <v>2.1543104841910781</v>
      </c>
      <c r="AO173" s="19">
        <f>IF($H173&gt;0,'Calculation Constants'!$B$9*Hydraulics!$K173^2/2/9.81/MAX($F$4:$F$253)*$H173,"")</f>
        <v>7.8734226558858159E-2</v>
      </c>
      <c r="AP173" s="19">
        <f t="shared" si="78"/>
        <v>2.2330447107499363</v>
      </c>
      <c r="AQ173" s="19">
        <f t="shared" si="68"/>
        <v>0</v>
      </c>
      <c r="AR173" s="19">
        <f t="shared" si="79"/>
        <v>34.016679424945323</v>
      </c>
      <c r="AS173" s="23">
        <f t="shared" si="69"/>
        <v>1136.5156794249453</v>
      </c>
    </row>
    <row r="174" spans="5:45">
      <c r="E174" s="35" t="str">
        <f t="shared" si="55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0"/>
        <v>2</v>
      </c>
      <c r="I174" s="19">
        <v>1.8</v>
      </c>
      <c r="J174" s="36">
        <f>'Flow Rate Calculations'!$B$7</f>
        <v>4.0831050228310497</v>
      </c>
      <c r="K174" s="36">
        <f t="shared" si="70"/>
        <v>1.6045588828318709</v>
      </c>
      <c r="L174" s="37">
        <f>$I174*$K174/'Calculation Constants'!$B$7</f>
        <v>2555934.503625989</v>
      </c>
      <c r="M174" s="37" t="str">
        <f t="shared" si="56"/>
        <v>Greater Dynamic Pressures</v>
      </c>
      <c r="N174" s="23">
        <f t="shared" si="71"/>
        <v>93.651870092777017</v>
      </c>
      <c r="O174" s="56">
        <f t="shared" si="57"/>
        <v>83.645373965829549</v>
      </c>
      <c r="P174" s="65">
        <f>MAX(I174*1000/'Calculation Constants'!$B$14,O174*10*I174*1000/2/('Calculation Constants'!$B$12*1000*'Calculation Constants'!$B$13))</f>
        <v>11.25</v>
      </c>
      <c r="Q174" s="67">
        <f t="shared" si="58"/>
        <v>992548.40161508287</v>
      </c>
      <c r="R174" s="27">
        <f>(1/(2*LOG(3.7*$I174/'Calculation Constants'!$B$2*1000)))^2</f>
        <v>8.7463077071963571E-3</v>
      </c>
      <c r="S174" s="19">
        <f t="shared" si="72"/>
        <v>1.2752477269849725</v>
      </c>
      <c r="T174" s="19">
        <f>IF($H174&gt;0,'Calculation Constants'!$B$9*Hydraulics!$K174^2/2/9.81/MAX($F$4:$F$253)*$H174,"")</f>
        <v>7.8734226558858159E-2</v>
      </c>
      <c r="U174" s="19">
        <f t="shared" si="73"/>
        <v>1.3539819535438307</v>
      </c>
      <c r="V174" s="19">
        <f t="shared" si="59"/>
        <v>0</v>
      </c>
      <c r="W174" s="19">
        <f t="shared" si="60"/>
        <v>93.651870092777017</v>
      </c>
      <c r="X174" s="23">
        <f t="shared" si="61"/>
        <v>1190.0008700927769</v>
      </c>
      <c r="Y174" s="22">
        <f>(1/(2*LOG(3.7*$I174/'Calculation Constants'!$B$3*1000)))^2</f>
        <v>9.8211436332891755E-3</v>
      </c>
      <c r="Z174" s="19">
        <f t="shared" si="62"/>
        <v>1.431963236834217</v>
      </c>
      <c r="AA174" s="19">
        <f>IF($H174&gt;0,'Calculation Constants'!$B$9*Hydraulics!$K174^2/2/9.81/MAX($F$4:$F$253)*$H174,"")</f>
        <v>7.8734226558858159E-2</v>
      </c>
      <c r="AB174" s="19">
        <f t="shared" si="81"/>
        <v>1.5106974633930752</v>
      </c>
      <c r="AC174" s="19">
        <f t="shared" si="63"/>
        <v>0</v>
      </c>
      <c r="AD174" s="19">
        <f t="shared" si="74"/>
        <v>83.645373965829549</v>
      </c>
      <c r="AE174" s="23">
        <f t="shared" si="64"/>
        <v>1179.9943739658295</v>
      </c>
      <c r="AF174" s="27">
        <f>(1/(2*LOG(3.7*$I174/'Calculation Constants'!$B$4*1000)))^2</f>
        <v>1.1575055557914658E-2</v>
      </c>
      <c r="AG174" s="19">
        <f t="shared" si="65"/>
        <v>1.6876908272744866</v>
      </c>
      <c r="AH174" s="19">
        <f>IF($H174&gt;0,'Calculation Constants'!$B$9*Hydraulics!$K174^2/2/9.81/MAX($F$4:$F$253)*$H174,"")</f>
        <v>7.8734226558858159E-2</v>
      </c>
      <c r="AI174" s="19">
        <f t="shared" si="75"/>
        <v>1.7664250538333448</v>
      </c>
      <c r="AJ174" s="19">
        <f t="shared" si="66"/>
        <v>0</v>
      </c>
      <c r="AK174" s="19">
        <f t="shared" si="76"/>
        <v>67.369501831063417</v>
      </c>
      <c r="AL174" s="23">
        <f t="shared" si="67"/>
        <v>1163.7185018310633</v>
      </c>
      <c r="AM174" s="22">
        <f>(1/(2*LOG(3.7*($I174-0.008)/'Calculation Constants'!$B$5*1000)))^2</f>
        <v>1.4709705891825043E-2</v>
      </c>
      <c r="AN174" s="19">
        <f t="shared" si="77"/>
        <v>2.1543104841910781</v>
      </c>
      <c r="AO174" s="19">
        <f>IF($H174&gt;0,'Calculation Constants'!$B$9*Hydraulics!$K174^2/2/9.81/MAX($F$4:$F$253)*$H174,"")</f>
        <v>7.8734226558858159E-2</v>
      </c>
      <c r="AP174" s="19">
        <f t="shared" si="78"/>
        <v>2.2330447107499363</v>
      </c>
      <c r="AQ174" s="19">
        <f t="shared" si="68"/>
        <v>0</v>
      </c>
      <c r="AR174" s="19">
        <f t="shared" si="79"/>
        <v>37.933634714195477</v>
      </c>
      <c r="AS174" s="23">
        <f t="shared" si="69"/>
        <v>1134.2826347141954</v>
      </c>
    </row>
    <row r="175" spans="5:45">
      <c r="E175" s="35" t="str">
        <f t="shared" si="55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0"/>
        <v>2</v>
      </c>
      <c r="I175" s="19">
        <v>1.8</v>
      </c>
      <c r="J175" s="36">
        <f>'Flow Rate Calculations'!$B$7</f>
        <v>4.0831050228310497</v>
      </c>
      <c r="K175" s="36">
        <f t="shared" si="70"/>
        <v>1.6045588828318709</v>
      </c>
      <c r="L175" s="37">
        <f>$I175*$K175/'Calculation Constants'!$B$7</f>
        <v>2555934.503625989</v>
      </c>
      <c r="M175" s="37" t="str">
        <f t="shared" si="56"/>
        <v>Greater Dynamic Pressures</v>
      </c>
      <c r="N175" s="23">
        <f t="shared" si="71"/>
        <v>98.25688813923307</v>
      </c>
      <c r="O175" s="56">
        <f t="shared" si="57"/>
        <v>88.09367650243621</v>
      </c>
      <c r="P175" s="65">
        <f>MAX(I175*1000/'Calculation Constants'!$B$14,O175*10*I175*1000/2/('Calculation Constants'!$B$12*1000*'Calculation Constants'!$B$13))</f>
        <v>11.25</v>
      </c>
      <c r="Q175" s="67">
        <f t="shared" si="58"/>
        <v>992548.40161508287</v>
      </c>
      <c r="R175" s="27">
        <f>(1/(2*LOG(3.7*$I175/'Calculation Constants'!$B$2*1000)))^2</f>
        <v>8.7463077071963571E-3</v>
      </c>
      <c r="S175" s="19">
        <f t="shared" si="72"/>
        <v>1.2752477269849725</v>
      </c>
      <c r="T175" s="19">
        <f>IF($H175&gt;0,'Calculation Constants'!$B$9*Hydraulics!$K175^2/2/9.81/MAX($F$4:$F$253)*$H175,"")</f>
        <v>7.8734226558858159E-2</v>
      </c>
      <c r="U175" s="19">
        <f t="shared" si="73"/>
        <v>1.3539819535438307</v>
      </c>
      <c r="V175" s="19">
        <f t="shared" si="59"/>
        <v>0</v>
      </c>
      <c r="W175" s="19">
        <f t="shared" si="60"/>
        <v>98.25688813923307</v>
      </c>
      <c r="X175" s="23">
        <f t="shared" si="61"/>
        <v>1188.6468881392332</v>
      </c>
      <c r="Y175" s="22">
        <f>(1/(2*LOG(3.7*$I175/'Calculation Constants'!$B$3*1000)))^2</f>
        <v>9.8211436332891755E-3</v>
      </c>
      <c r="Z175" s="19">
        <f t="shared" si="62"/>
        <v>1.431963236834217</v>
      </c>
      <c r="AA175" s="19">
        <f>IF($H175&gt;0,'Calculation Constants'!$B$9*Hydraulics!$K175^2/2/9.81/MAX($F$4:$F$253)*$H175,"")</f>
        <v>7.8734226558858159E-2</v>
      </c>
      <c r="AB175" s="19">
        <f t="shared" si="81"/>
        <v>1.5106974633930752</v>
      </c>
      <c r="AC175" s="19">
        <f t="shared" si="63"/>
        <v>0</v>
      </c>
      <c r="AD175" s="19">
        <f t="shared" si="74"/>
        <v>88.09367650243621</v>
      </c>
      <c r="AE175" s="23">
        <f t="shared" si="64"/>
        <v>1178.4836765024363</v>
      </c>
      <c r="AF175" s="27">
        <f>(1/(2*LOG(3.7*$I175/'Calculation Constants'!$B$4*1000)))^2</f>
        <v>1.1575055557914658E-2</v>
      </c>
      <c r="AG175" s="19">
        <f t="shared" si="65"/>
        <v>1.6876908272744866</v>
      </c>
      <c r="AH175" s="19">
        <f>IF($H175&gt;0,'Calculation Constants'!$B$9*Hydraulics!$K175^2/2/9.81/MAX($F$4:$F$253)*$H175,"")</f>
        <v>7.8734226558858159E-2</v>
      </c>
      <c r="AI175" s="19">
        <f t="shared" si="75"/>
        <v>1.7664250538333448</v>
      </c>
      <c r="AJ175" s="19">
        <f t="shared" si="66"/>
        <v>0</v>
      </c>
      <c r="AK175" s="19">
        <f t="shared" si="76"/>
        <v>71.562076777230004</v>
      </c>
      <c r="AL175" s="23">
        <f t="shared" si="67"/>
        <v>1161.9520767772301</v>
      </c>
      <c r="AM175" s="22">
        <f>(1/(2*LOG(3.7*($I175-0.008)/'Calculation Constants'!$B$5*1000)))^2</f>
        <v>1.4709705891825043E-2</v>
      </c>
      <c r="AN175" s="19">
        <f t="shared" si="77"/>
        <v>2.1543104841910781</v>
      </c>
      <c r="AO175" s="19">
        <f>IF($H175&gt;0,'Calculation Constants'!$B$9*Hydraulics!$K175^2/2/9.81/MAX($F$4:$F$253)*$H175,"")</f>
        <v>7.8734226558858159E-2</v>
      </c>
      <c r="AP175" s="19">
        <f t="shared" si="78"/>
        <v>2.2330447107499363</v>
      </c>
      <c r="AQ175" s="19">
        <f t="shared" si="68"/>
        <v>0</v>
      </c>
      <c r="AR175" s="19">
        <f t="shared" si="79"/>
        <v>41.659590003445373</v>
      </c>
      <c r="AS175" s="23">
        <f t="shared" si="69"/>
        <v>1132.0495900034455</v>
      </c>
    </row>
    <row r="176" spans="5:45">
      <c r="E176" s="35" t="str">
        <f t="shared" si="55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0"/>
        <v>2</v>
      </c>
      <c r="I176" s="19">
        <v>1.8</v>
      </c>
      <c r="J176" s="36">
        <f>'Flow Rate Calculations'!$B$7</f>
        <v>4.0831050228310497</v>
      </c>
      <c r="K176" s="36">
        <f t="shared" si="70"/>
        <v>1.6045588828318709</v>
      </c>
      <c r="L176" s="37">
        <f>$I176*$K176/'Calculation Constants'!$B$7</f>
        <v>2555934.503625989</v>
      </c>
      <c r="M176" s="37" t="str">
        <f t="shared" si="56"/>
        <v>Greater Dynamic Pressures</v>
      </c>
      <c r="N176" s="23">
        <f t="shared" si="71"/>
        <v>99.527906185689289</v>
      </c>
      <c r="O176" s="56">
        <f t="shared" si="57"/>
        <v>89.207979039043039</v>
      </c>
      <c r="P176" s="65">
        <f>MAX(I176*1000/'Calculation Constants'!$B$14,O176*10*I176*1000/2/('Calculation Constants'!$B$12*1000*'Calculation Constants'!$B$13))</f>
        <v>11.25</v>
      </c>
      <c r="Q176" s="67">
        <f t="shared" si="58"/>
        <v>992548.40161508287</v>
      </c>
      <c r="R176" s="27">
        <f>(1/(2*LOG(3.7*$I176/'Calculation Constants'!$B$2*1000)))^2</f>
        <v>8.7463077071963571E-3</v>
      </c>
      <c r="S176" s="19">
        <f t="shared" si="72"/>
        <v>1.2752477269849725</v>
      </c>
      <c r="T176" s="19">
        <f>IF($H176&gt;0,'Calculation Constants'!$B$9*Hydraulics!$K176^2/2/9.81/MAX($F$4:$F$253)*$H176,"")</f>
        <v>7.8734226558858159E-2</v>
      </c>
      <c r="U176" s="19">
        <f t="shared" si="73"/>
        <v>1.3539819535438307</v>
      </c>
      <c r="V176" s="19">
        <f t="shared" si="59"/>
        <v>0</v>
      </c>
      <c r="W176" s="19">
        <f t="shared" si="60"/>
        <v>99.527906185689289</v>
      </c>
      <c r="X176" s="23">
        <f t="shared" si="61"/>
        <v>1187.2929061856894</v>
      </c>
      <c r="Y176" s="22">
        <f>(1/(2*LOG(3.7*$I176/'Calculation Constants'!$B$3*1000)))^2</f>
        <v>9.8211436332891755E-3</v>
      </c>
      <c r="Z176" s="19">
        <f t="shared" si="62"/>
        <v>1.431963236834217</v>
      </c>
      <c r="AA176" s="19">
        <f>IF($H176&gt;0,'Calculation Constants'!$B$9*Hydraulics!$K176^2/2/9.81/MAX($F$4:$F$253)*$H176,"")</f>
        <v>7.8734226558858159E-2</v>
      </c>
      <c r="AB176" s="19">
        <f t="shared" si="81"/>
        <v>1.5106974633930752</v>
      </c>
      <c r="AC176" s="19">
        <f t="shared" si="63"/>
        <v>0</v>
      </c>
      <c r="AD176" s="19">
        <f t="shared" si="74"/>
        <v>89.207979039043039</v>
      </c>
      <c r="AE176" s="23">
        <f t="shared" si="64"/>
        <v>1176.9729790390431</v>
      </c>
      <c r="AF176" s="27">
        <f>(1/(2*LOG(3.7*$I176/'Calculation Constants'!$B$4*1000)))^2</f>
        <v>1.1575055557914658E-2</v>
      </c>
      <c r="AG176" s="19">
        <f t="shared" si="65"/>
        <v>1.6876908272744866</v>
      </c>
      <c r="AH176" s="19">
        <f>IF($H176&gt;0,'Calculation Constants'!$B$9*Hydraulics!$K176^2/2/9.81/MAX($F$4:$F$253)*$H176,"")</f>
        <v>7.8734226558858159E-2</v>
      </c>
      <c r="AI176" s="19">
        <f t="shared" si="75"/>
        <v>1.7664250538333448</v>
      </c>
      <c r="AJ176" s="19">
        <f t="shared" si="66"/>
        <v>0</v>
      </c>
      <c r="AK176" s="19">
        <f t="shared" si="76"/>
        <v>72.420651723396759</v>
      </c>
      <c r="AL176" s="23">
        <f t="shared" si="67"/>
        <v>1160.1856517233969</v>
      </c>
      <c r="AM176" s="22">
        <f>(1/(2*LOG(3.7*($I176-0.008)/'Calculation Constants'!$B$5*1000)))^2</f>
        <v>1.4709705891825043E-2</v>
      </c>
      <c r="AN176" s="19">
        <f t="shared" si="77"/>
        <v>2.1543104841910781</v>
      </c>
      <c r="AO176" s="19">
        <f>IF($H176&gt;0,'Calculation Constants'!$B$9*Hydraulics!$K176^2/2/9.81/MAX($F$4:$F$253)*$H176,"")</f>
        <v>7.8734226558858159E-2</v>
      </c>
      <c r="AP176" s="19">
        <f t="shared" si="78"/>
        <v>2.2330447107499363</v>
      </c>
      <c r="AQ176" s="19">
        <f t="shared" si="68"/>
        <v>0</v>
      </c>
      <c r="AR176" s="19">
        <f t="shared" si="79"/>
        <v>42.051545292695437</v>
      </c>
      <c r="AS176" s="23">
        <f t="shared" si="69"/>
        <v>1129.8165452926955</v>
      </c>
    </row>
    <row r="177" spans="5:45">
      <c r="E177" s="35" t="str">
        <f t="shared" si="55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0"/>
        <v>2</v>
      </c>
      <c r="I177" s="19">
        <v>1.8</v>
      </c>
      <c r="J177" s="36">
        <f>'Flow Rate Calculations'!$B$7</f>
        <v>4.0831050228310497</v>
      </c>
      <c r="K177" s="36">
        <f t="shared" si="70"/>
        <v>1.6045588828318709</v>
      </c>
      <c r="L177" s="37">
        <f>$I177*$K177/'Calculation Constants'!$B$7</f>
        <v>2555934.503625989</v>
      </c>
      <c r="M177" s="37" t="str">
        <f t="shared" si="56"/>
        <v>Greater Dynamic Pressures</v>
      </c>
      <c r="N177" s="23">
        <f t="shared" si="71"/>
        <v>101.27792423214555</v>
      </c>
      <c r="O177" s="56">
        <f t="shared" si="57"/>
        <v>90.801281575649909</v>
      </c>
      <c r="P177" s="65">
        <f>MAX(I177*1000/'Calculation Constants'!$B$14,O177*10*I177*1000/2/('Calculation Constants'!$B$12*1000*'Calculation Constants'!$B$13))</f>
        <v>11.25</v>
      </c>
      <c r="Q177" s="67">
        <f t="shared" si="58"/>
        <v>992548.40161508287</v>
      </c>
      <c r="R177" s="27">
        <f>(1/(2*LOG(3.7*$I177/'Calculation Constants'!$B$2*1000)))^2</f>
        <v>8.7463077071963571E-3</v>
      </c>
      <c r="S177" s="19">
        <f t="shared" si="72"/>
        <v>1.2752477269849725</v>
      </c>
      <c r="T177" s="19">
        <f>IF($H177&gt;0,'Calculation Constants'!$B$9*Hydraulics!$K177^2/2/9.81/MAX($F$4:$F$253)*$H177,"")</f>
        <v>7.8734226558858159E-2</v>
      </c>
      <c r="U177" s="19">
        <f t="shared" si="73"/>
        <v>1.3539819535438307</v>
      </c>
      <c r="V177" s="19">
        <f t="shared" si="59"/>
        <v>0</v>
      </c>
      <c r="W177" s="19">
        <f t="shared" si="60"/>
        <v>101.27792423214555</v>
      </c>
      <c r="X177" s="23">
        <f t="shared" si="61"/>
        <v>1185.9389242321456</v>
      </c>
      <c r="Y177" s="22">
        <f>(1/(2*LOG(3.7*$I177/'Calculation Constants'!$B$3*1000)))^2</f>
        <v>9.8211436332891755E-3</v>
      </c>
      <c r="Z177" s="19">
        <f t="shared" si="62"/>
        <v>1.431963236834217</v>
      </c>
      <c r="AA177" s="19">
        <f>IF($H177&gt;0,'Calculation Constants'!$B$9*Hydraulics!$K177^2/2/9.81/MAX($F$4:$F$253)*$H177,"")</f>
        <v>7.8734226558858159E-2</v>
      </c>
      <c r="AB177" s="19">
        <f t="shared" si="81"/>
        <v>1.5106974633930752</v>
      </c>
      <c r="AC177" s="19">
        <f t="shared" si="63"/>
        <v>0</v>
      </c>
      <c r="AD177" s="19">
        <f t="shared" si="74"/>
        <v>90.801281575649909</v>
      </c>
      <c r="AE177" s="23">
        <f t="shared" si="64"/>
        <v>1175.46228157565</v>
      </c>
      <c r="AF177" s="27">
        <f>(1/(2*LOG(3.7*$I177/'Calculation Constants'!$B$4*1000)))^2</f>
        <v>1.1575055557914658E-2</v>
      </c>
      <c r="AG177" s="19">
        <f t="shared" si="65"/>
        <v>1.6876908272744866</v>
      </c>
      <c r="AH177" s="19">
        <f>IF($H177&gt;0,'Calculation Constants'!$B$9*Hydraulics!$K177^2/2/9.81/MAX($F$4:$F$253)*$H177,"")</f>
        <v>7.8734226558858159E-2</v>
      </c>
      <c r="AI177" s="19">
        <f t="shared" si="75"/>
        <v>1.7664250538333448</v>
      </c>
      <c r="AJ177" s="19">
        <f t="shared" si="66"/>
        <v>0</v>
      </c>
      <c r="AK177" s="19">
        <f t="shared" si="76"/>
        <v>73.758226669563555</v>
      </c>
      <c r="AL177" s="23">
        <f t="shared" si="67"/>
        <v>1158.4192266695636</v>
      </c>
      <c r="AM177" s="22">
        <f>(1/(2*LOG(3.7*($I177-0.008)/'Calculation Constants'!$B$5*1000)))^2</f>
        <v>1.4709705891825043E-2</v>
      </c>
      <c r="AN177" s="19">
        <f t="shared" si="77"/>
        <v>2.1543104841910781</v>
      </c>
      <c r="AO177" s="19">
        <f>IF($H177&gt;0,'Calculation Constants'!$B$9*Hydraulics!$K177^2/2/9.81/MAX($F$4:$F$253)*$H177,"")</f>
        <v>7.8734226558858159E-2</v>
      </c>
      <c r="AP177" s="19">
        <f t="shared" si="78"/>
        <v>2.2330447107499363</v>
      </c>
      <c r="AQ177" s="19">
        <f t="shared" si="68"/>
        <v>0</v>
      </c>
      <c r="AR177" s="19">
        <f t="shared" si="79"/>
        <v>42.922500581945542</v>
      </c>
      <c r="AS177" s="23">
        <f t="shared" si="69"/>
        <v>1127.5835005819456</v>
      </c>
    </row>
    <row r="178" spans="5:45">
      <c r="E178" s="35" t="str">
        <f t="shared" si="55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0"/>
        <v>2</v>
      </c>
      <c r="I178" s="19">
        <v>1.8</v>
      </c>
      <c r="J178" s="36">
        <f>'Flow Rate Calculations'!$B$7</f>
        <v>4.0831050228310497</v>
      </c>
      <c r="K178" s="36">
        <f t="shared" si="70"/>
        <v>1.6045588828318709</v>
      </c>
      <c r="L178" s="37">
        <f>$I178*$K178/'Calculation Constants'!$B$7</f>
        <v>2555934.503625989</v>
      </c>
      <c r="M178" s="37" t="str">
        <f t="shared" si="56"/>
        <v>Greater Dynamic Pressures</v>
      </c>
      <c r="N178" s="23">
        <f t="shared" si="71"/>
        <v>102.92294227860179</v>
      </c>
      <c r="O178" s="56">
        <f t="shared" si="57"/>
        <v>92.289584112256762</v>
      </c>
      <c r="P178" s="65">
        <f>MAX(I178*1000/'Calculation Constants'!$B$14,O178*10*I178*1000/2/('Calculation Constants'!$B$12*1000*'Calculation Constants'!$B$13))</f>
        <v>11.25</v>
      </c>
      <c r="Q178" s="67">
        <f t="shared" si="58"/>
        <v>992548.40161508287</v>
      </c>
      <c r="R178" s="27">
        <f>(1/(2*LOG(3.7*$I178/'Calculation Constants'!$B$2*1000)))^2</f>
        <v>8.7463077071963571E-3</v>
      </c>
      <c r="S178" s="19">
        <f t="shared" si="72"/>
        <v>1.2752477269849725</v>
      </c>
      <c r="T178" s="19">
        <f>IF($H178&gt;0,'Calculation Constants'!$B$9*Hydraulics!$K178^2/2/9.81/MAX($F$4:$F$253)*$H178,"")</f>
        <v>7.8734226558858159E-2</v>
      </c>
      <c r="U178" s="19">
        <f t="shared" si="73"/>
        <v>1.3539819535438307</v>
      </c>
      <c r="V178" s="19">
        <f t="shared" si="59"/>
        <v>0</v>
      </c>
      <c r="W178" s="19">
        <f t="shared" si="60"/>
        <v>102.92294227860179</v>
      </c>
      <c r="X178" s="23">
        <f t="shared" si="61"/>
        <v>1184.5849422786018</v>
      </c>
      <c r="Y178" s="22">
        <f>(1/(2*LOG(3.7*$I178/'Calculation Constants'!$B$3*1000)))^2</f>
        <v>9.8211436332891755E-3</v>
      </c>
      <c r="Z178" s="19">
        <f t="shared" si="62"/>
        <v>1.431963236834217</v>
      </c>
      <c r="AA178" s="19">
        <f>IF($H178&gt;0,'Calculation Constants'!$B$9*Hydraulics!$K178^2/2/9.81/MAX($F$4:$F$253)*$H178,"")</f>
        <v>7.8734226558858159E-2</v>
      </c>
      <c r="AB178" s="19">
        <f t="shared" si="81"/>
        <v>1.5106974633930752</v>
      </c>
      <c r="AC178" s="19">
        <f t="shared" si="63"/>
        <v>0</v>
      </c>
      <c r="AD178" s="19">
        <f t="shared" si="74"/>
        <v>92.289584112256762</v>
      </c>
      <c r="AE178" s="23">
        <f t="shared" si="64"/>
        <v>1173.9515841122568</v>
      </c>
      <c r="AF178" s="27">
        <f>(1/(2*LOG(3.7*$I178/'Calculation Constants'!$B$4*1000)))^2</f>
        <v>1.1575055557914658E-2</v>
      </c>
      <c r="AG178" s="19">
        <f t="shared" si="65"/>
        <v>1.6876908272744866</v>
      </c>
      <c r="AH178" s="19">
        <f>IF($H178&gt;0,'Calculation Constants'!$B$9*Hydraulics!$K178^2/2/9.81/MAX($F$4:$F$253)*$H178,"")</f>
        <v>7.8734226558858159E-2</v>
      </c>
      <c r="AI178" s="19">
        <f t="shared" si="75"/>
        <v>1.7664250538333448</v>
      </c>
      <c r="AJ178" s="19">
        <f t="shared" si="66"/>
        <v>0</v>
      </c>
      <c r="AK178" s="19">
        <f t="shared" si="76"/>
        <v>74.990801615730334</v>
      </c>
      <c r="AL178" s="23">
        <f t="shared" si="67"/>
        <v>1156.6528016157304</v>
      </c>
      <c r="AM178" s="22">
        <f>(1/(2*LOG(3.7*($I178-0.008)/'Calculation Constants'!$B$5*1000)))^2</f>
        <v>1.4709705891825043E-2</v>
      </c>
      <c r="AN178" s="19">
        <f t="shared" si="77"/>
        <v>2.1543104841910781</v>
      </c>
      <c r="AO178" s="19">
        <f>IF($H178&gt;0,'Calculation Constants'!$B$9*Hydraulics!$K178^2/2/9.81/MAX($F$4:$F$253)*$H178,"")</f>
        <v>7.8734226558858159E-2</v>
      </c>
      <c r="AP178" s="19">
        <f t="shared" si="78"/>
        <v>2.2330447107499363</v>
      </c>
      <c r="AQ178" s="19">
        <f t="shared" si="68"/>
        <v>0</v>
      </c>
      <c r="AR178" s="19">
        <f t="shared" si="79"/>
        <v>43.688455871195629</v>
      </c>
      <c r="AS178" s="23">
        <f t="shared" si="69"/>
        <v>1125.3504558711957</v>
      </c>
    </row>
    <row r="179" spans="5:45">
      <c r="E179" s="35" t="str">
        <f t="shared" si="55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0"/>
        <v>2</v>
      </c>
      <c r="I179" s="19">
        <v>1.8</v>
      </c>
      <c r="J179" s="36">
        <f>'Flow Rate Calculations'!$B$7</f>
        <v>4.0831050228310497</v>
      </c>
      <c r="K179" s="36">
        <f t="shared" si="70"/>
        <v>1.6045588828318709</v>
      </c>
      <c r="L179" s="37">
        <f>$I179*$K179/'Calculation Constants'!$B$7</f>
        <v>2555934.503625989</v>
      </c>
      <c r="M179" s="37" t="str">
        <f t="shared" si="56"/>
        <v>Greater Dynamic Pressures</v>
      </c>
      <c r="N179" s="23">
        <f t="shared" si="71"/>
        <v>106.35896032505798</v>
      </c>
      <c r="O179" s="56">
        <f t="shared" si="57"/>
        <v>95.568886648863554</v>
      </c>
      <c r="P179" s="65">
        <f>MAX(I179*1000/'Calculation Constants'!$B$14,O179*10*I179*1000/2/('Calculation Constants'!$B$12*1000*'Calculation Constants'!$B$13))</f>
        <v>11.25</v>
      </c>
      <c r="Q179" s="67">
        <f t="shared" si="58"/>
        <v>992548.40161508287</v>
      </c>
      <c r="R179" s="27">
        <f>(1/(2*LOG(3.7*$I179/'Calculation Constants'!$B$2*1000)))^2</f>
        <v>8.7463077071963571E-3</v>
      </c>
      <c r="S179" s="19">
        <f t="shared" si="72"/>
        <v>1.2752477269849725</v>
      </c>
      <c r="T179" s="19">
        <f>IF($H179&gt;0,'Calculation Constants'!$B$9*Hydraulics!$K179^2/2/9.81/MAX($F$4:$F$253)*$H179,"")</f>
        <v>7.8734226558858159E-2</v>
      </c>
      <c r="U179" s="19">
        <f t="shared" si="73"/>
        <v>1.3539819535438307</v>
      </c>
      <c r="V179" s="19">
        <f t="shared" si="59"/>
        <v>0</v>
      </c>
      <c r="W179" s="19">
        <f t="shared" si="60"/>
        <v>106.35896032505798</v>
      </c>
      <c r="X179" s="23">
        <f t="shared" si="61"/>
        <v>1183.230960325058</v>
      </c>
      <c r="Y179" s="22">
        <f>(1/(2*LOG(3.7*$I179/'Calculation Constants'!$B$3*1000)))^2</f>
        <v>9.8211436332891755E-3</v>
      </c>
      <c r="Z179" s="19">
        <f t="shared" si="62"/>
        <v>1.431963236834217</v>
      </c>
      <c r="AA179" s="19">
        <f>IF($H179&gt;0,'Calculation Constants'!$B$9*Hydraulics!$K179^2/2/9.81/MAX($F$4:$F$253)*$H179,"")</f>
        <v>7.8734226558858159E-2</v>
      </c>
      <c r="AB179" s="19">
        <f t="shared" si="81"/>
        <v>1.5106974633930752</v>
      </c>
      <c r="AC179" s="19">
        <f t="shared" si="63"/>
        <v>0</v>
      </c>
      <c r="AD179" s="19">
        <f t="shared" si="74"/>
        <v>95.568886648863554</v>
      </c>
      <c r="AE179" s="23">
        <f t="shared" si="64"/>
        <v>1172.4408866488636</v>
      </c>
      <c r="AF179" s="27">
        <f>(1/(2*LOG(3.7*$I179/'Calculation Constants'!$B$4*1000)))^2</f>
        <v>1.1575055557914658E-2</v>
      </c>
      <c r="AG179" s="19">
        <f t="shared" si="65"/>
        <v>1.6876908272744866</v>
      </c>
      <c r="AH179" s="19">
        <f>IF($H179&gt;0,'Calculation Constants'!$B$9*Hydraulics!$K179^2/2/9.81/MAX($F$4:$F$253)*$H179,"")</f>
        <v>7.8734226558858159E-2</v>
      </c>
      <c r="AI179" s="19">
        <f t="shared" si="75"/>
        <v>1.7664250538333448</v>
      </c>
      <c r="AJ179" s="19">
        <f t="shared" si="66"/>
        <v>0</v>
      </c>
      <c r="AK179" s="19">
        <f t="shared" si="76"/>
        <v>78.014376561897052</v>
      </c>
      <c r="AL179" s="23">
        <f t="shared" si="67"/>
        <v>1154.8863765618971</v>
      </c>
      <c r="AM179" s="22">
        <f>(1/(2*LOG(3.7*($I179-0.008)/'Calculation Constants'!$B$5*1000)))^2</f>
        <v>1.4709705891825043E-2</v>
      </c>
      <c r="AN179" s="19">
        <f t="shared" si="77"/>
        <v>2.1543104841910781</v>
      </c>
      <c r="AO179" s="19">
        <f>IF($H179&gt;0,'Calculation Constants'!$B$9*Hydraulics!$K179^2/2/9.81/MAX($F$4:$F$253)*$H179,"")</f>
        <v>7.8734226558858159E-2</v>
      </c>
      <c r="AP179" s="19">
        <f t="shared" si="78"/>
        <v>2.2330447107499363</v>
      </c>
      <c r="AQ179" s="19">
        <f t="shared" si="68"/>
        <v>0</v>
      </c>
      <c r="AR179" s="19">
        <f t="shared" si="79"/>
        <v>46.245411160445656</v>
      </c>
      <c r="AS179" s="23">
        <f t="shared" si="69"/>
        <v>1123.1174111604457</v>
      </c>
    </row>
    <row r="180" spans="5:45">
      <c r="E180" s="35" t="str">
        <f t="shared" si="55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0"/>
        <v>2</v>
      </c>
      <c r="I180" s="19">
        <v>1.8</v>
      </c>
      <c r="J180" s="36">
        <f>'Flow Rate Calculations'!$B$7</f>
        <v>4.0831050228310497</v>
      </c>
      <c r="K180" s="36">
        <f t="shared" si="70"/>
        <v>1.6045588828318709</v>
      </c>
      <c r="L180" s="37">
        <f>$I180*$K180/'Calculation Constants'!$B$7</f>
        <v>2555934.503625989</v>
      </c>
      <c r="M180" s="37" t="str">
        <f t="shared" si="56"/>
        <v>Greater Dynamic Pressures</v>
      </c>
      <c r="N180" s="23">
        <f t="shared" si="71"/>
        <v>110.97897837151436</v>
      </c>
      <c r="O180" s="56">
        <f t="shared" si="57"/>
        <v>100.03218918547054</v>
      </c>
      <c r="P180" s="65">
        <f>MAX(I180*1000/'Calculation Constants'!$B$14,O180*10*I180*1000/2/('Calculation Constants'!$B$12*1000*'Calculation Constants'!$B$13))</f>
        <v>11.25</v>
      </c>
      <c r="Q180" s="67">
        <f t="shared" si="58"/>
        <v>992548.40161508287</v>
      </c>
      <c r="R180" s="27">
        <f>(1/(2*LOG(3.7*$I180/'Calculation Constants'!$B$2*1000)))^2</f>
        <v>8.7463077071963571E-3</v>
      </c>
      <c r="S180" s="19">
        <f t="shared" si="72"/>
        <v>1.2752477269849725</v>
      </c>
      <c r="T180" s="19">
        <f>IF($H180&gt;0,'Calculation Constants'!$B$9*Hydraulics!$K180^2/2/9.81/MAX($F$4:$F$253)*$H180,"")</f>
        <v>7.8734226558858159E-2</v>
      </c>
      <c r="U180" s="19">
        <f t="shared" si="73"/>
        <v>1.3539819535438307</v>
      </c>
      <c r="V180" s="19">
        <f t="shared" si="59"/>
        <v>0</v>
      </c>
      <c r="W180" s="19">
        <f t="shared" si="60"/>
        <v>110.97897837151436</v>
      </c>
      <c r="X180" s="23">
        <f t="shared" si="61"/>
        <v>1181.8769783715143</v>
      </c>
      <c r="Y180" s="22">
        <f>(1/(2*LOG(3.7*$I180/'Calculation Constants'!$B$3*1000)))^2</f>
        <v>9.8211436332891755E-3</v>
      </c>
      <c r="Z180" s="19">
        <f t="shared" si="62"/>
        <v>1.431963236834217</v>
      </c>
      <c r="AA180" s="19">
        <f>IF($H180&gt;0,'Calculation Constants'!$B$9*Hydraulics!$K180^2/2/9.81/MAX($F$4:$F$253)*$H180,"")</f>
        <v>7.8734226558858159E-2</v>
      </c>
      <c r="AB180" s="19">
        <f t="shared" si="81"/>
        <v>1.5106974633930752</v>
      </c>
      <c r="AC180" s="19">
        <f t="shared" si="63"/>
        <v>0</v>
      </c>
      <c r="AD180" s="19">
        <f t="shared" si="74"/>
        <v>100.03218918547054</v>
      </c>
      <c r="AE180" s="23">
        <f t="shared" si="64"/>
        <v>1170.9301891854705</v>
      </c>
      <c r="AF180" s="27">
        <f>(1/(2*LOG(3.7*$I180/'Calculation Constants'!$B$4*1000)))^2</f>
        <v>1.1575055557914658E-2</v>
      </c>
      <c r="AG180" s="19">
        <f t="shared" si="65"/>
        <v>1.6876908272744866</v>
      </c>
      <c r="AH180" s="19">
        <f>IF($H180&gt;0,'Calculation Constants'!$B$9*Hydraulics!$K180^2/2/9.81/MAX($F$4:$F$253)*$H180,"")</f>
        <v>7.8734226558858159E-2</v>
      </c>
      <c r="AI180" s="19">
        <f t="shared" si="75"/>
        <v>1.7664250538333448</v>
      </c>
      <c r="AJ180" s="19">
        <f t="shared" si="66"/>
        <v>0</v>
      </c>
      <c r="AK180" s="19">
        <f t="shared" si="76"/>
        <v>82.221951508063967</v>
      </c>
      <c r="AL180" s="23">
        <f t="shared" si="67"/>
        <v>1153.1199515080639</v>
      </c>
      <c r="AM180" s="22">
        <f>(1/(2*LOG(3.7*($I180-0.008)/'Calculation Constants'!$B$5*1000)))^2</f>
        <v>1.4709705891825043E-2</v>
      </c>
      <c r="AN180" s="19">
        <f t="shared" si="77"/>
        <v>2.1543104841910781</v>
      </c>
      <c r="AO180" s="19">
        <f>IF($H180&gt;0,'Calculation Constants'!$B$9*Hydraulics!$K180^2/2/9.81/MAX($F$4:$F$253)*$H180,"")</f>
        <v>7.8734226558858159E-2</v>
      </c>
      <c r="AP180" s="19">
        <f t="shared" si="78"/>
        <v>2.2330447107499363</v>
      </c>
      <c r="AQ180" s="19">
        <f t="shared" si="68"/>
        <v>0</v>
      </c>
      <c r="AR180" s="19">
        <f t="shared" si="79"/>
        <v>49.986366449695879</v>
      </c>
      <c r="AS180" s="23">
        <f t="shared" si="69"/>
        <v>1120.8843664496958</v>
      </c>
    </row>
    <row r="181" spans="5:45">
      <c r="E181" s="35" t="str">
        <f t="shared" si="55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0"/>
        <v>2</v>
      </c>
      <c r="I181" s="19">
        <v>1.8</v>
      </c>
      <c r="J181" s="36">
        <f>'Flow Rate Calculations'!$B$7</f>
        <v>4.0831050228310497</v>
      </c>
      <c r="K181" s="36">
        <f t="shared" si="70"/>
        <v>1.6045588828318709</v>
      </c>
      <c r="L181" s="37">
        <f>$I181*$K181/'Calculation Constants'!$B$7</f>
        <v>2555934.503625989</v>
      </c>
      <c r="M181" s="37" t="str">
        <f t="shared" si="56"/>
        <v>Greater Dynamic Pressures</v>
      </c>
      <c r="N181" s="23">
        <f t="shared" si="71"/>
        <v>115.50499641797046</v>
      </c>
      <c r="O181" s="56">
        <f t="shared" si="57"/>
        <v>104.40149172207725</v>
      </c>
      <c r="P181" s="65">
        <f>MAX(I181*1000/'Calculation Constants'!$B$14,O181*10*I181*1000/2/('Calculation Constants'!$B$12*1000*'Calculation Constants'!$B$13))</f>
        <v>11.25</v>
      </c>
      <c r="Q181" s="67">
        <f t="shared" si="58"/>
        <v>992548.40161508287</v>
      </c>
      <c r="R181" s="27">
        <f>(1/(2*LOG(3.7*$I181/'Calculation Constants'!$B$2*1000)))^2</f>
        <v>8.7463077071963571E-3</v>
      </c>
      <c r="S181" s="19">
        <f t="shared" si="72"/>
        <v>1.2752477269849725</v>
      </c>
      <c r="T181" s="19">
        <f>IF($H181&gt;0,'Calculation Constants'!$B$9*Hydraulics!$K181^2/2/9.81/MAX($F$4:$F$253)*$H181,"")</f>
        <v>7.8734226558858159E-2</v>
      </c>
      <c r="U181" s="19">
        <f t="shared" si="73"/>
        <v>1.3539819535438307</v>
      </c>
      <c r="V181" s="19">
        <f t="shared" si="59"/>
        <v>0</v>
      </c>
      <c r="W181" s="19">
        <f t="shared" si="60"/>
        <v>115.50499641797046</v>
      </c>
      <c r="X181" s="23">
        <f t="shared" si="61"/>
        <v>1180.5229964179705</v>
      </c>
      <c r="Y181" s="22">
        <f>(1/(2*LOG(3.7*$I181/'Calculation Constants'!$B$3*1000)))^2</f>
        <v>9.8211436332891755E-3</v>
      </c>
      <c r="Z181" s="19">
        <f t="shared" si="62"/>
        <v>1.431963236834217</v>
      </c>
      <c r="AA181" s="19">
        <f>IF($H181&gt;0,'Calculation Constants'!$B$9*Hydraulics!$K181^2/2/9.81/MAX($F$4:$F$253)*$H181,"")</f>
        <v>7.8734226558858159E-2</v>
      </c>
      <c r="AB181" s="19">
        <f t="shared" si="81"/>
        <v>1.5106974633930752</v>
      </c>
      <c r="AC181" s="19">
        <f t="shared" si="63"/>
        <v>0</v>
      </c>
      <c r="AD181" s="19">
        <f t="shared" si="74"/>
        <v>104.40149172207725</v>
      </c>
      <c r="AE181" s="23">
        <f t="shared" si="64"/>
        <v>1169.4194917220773</v>
      </c>
      <c r="AF181" s="27">
        <f>(1/(2*LOG(3.7*$I181/'Calculation Constants'!$B$4*1000)))^2</f>
        <v>1.1575055557914658E-2</v>
      </c>
      <c r="AG181" s="19">
        <f t="shared" si="65"/>
        <v>1.6876908272744866</v>
      </c>
      <c r="AH181" s="19">
        <f>IF($H181&gt;0,'Calculation Constants'!$B$9*Hydraulics!$K181^2/2/9.81/MAX($F$4:$F$253)*$H181,"")</f>
        <v>7.8734226558858159E-2</v>
      </c>
      <c r="AI181" s="19">
        <f t="shared" si="75"/>
        <v>1.7664250538333448</v>
      </c>
      <c r="AJ181" s="19">
        <f t="shared" si="66"/>
        <v>0</v>
      </c>
      <c r="AK181" s="19">
        <f t="shared" si="76"/>
        <v>86.335526454230603</v>
      </c>
      <c r="AL181" s="23">
        <f t="shared" si="67"/>
        <v>1151.3535264542306</v>
      </c>
      <c r="AM181" s="22">
        <f>(1/(2*LOG(3.7*($I181-0.008)/'Calculation Constants'!$B$5*1000)))^2</f>
        <v>1.4709705891825043E-2</v>
      </c>
      <c r="AN181" s="19">
        <f t="shared" si="77"/>
        <v>2.1543104841910781</v>
      </c>
      <c r="AO181" s="19">
        <f>IF($H181&gt;0,'Calculation Constants'!$B$9*Hydraulics!$K181^2/2/9.81/MAX($F$4:$F$253)*$H181,"")</f>
        <v>7.8734226558858159E-2</v>
      </c>
      <c r="AP181" s="19">
        <f t="shared" si="78"/>
        <v>2.2330447107499363</v>
      </c>
      <c r="AQ181" s="19">
        <f t="shared" si="68"/>
        <v>0</v>
      </c>
      <c r="AR181" s="19">
        <f t="shared" si="79"/>
        <v>53.633321738945824</v>
      </c>
      <c r="AS181" s="23">
        <f t="shared" si="69"/>
        <v>1118.6513217389459</v>
      </c>
    </row>
    <row r="182" spans="5:45">
      <c r="E182" s="35" t="str">
        <f t="shared" si="55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0"/>
        <v>2</v>
      </c>
      <c r="I182" s="19">
        <v>1.8</v>
      </c>
      <c r="J182" s="36">
        <f>'Flow Rate Calculations'!$B$7</f>
        <v>4.0831050228310497</v>
      </c>
      <c r="K182" s="36">
        <f t="shared" si="70"/>
        <v>1.6045588828318709</v>
      </c>
      <c r="L182" s="37">
        <f>$I182*$K182/'Calculation Constants'!$B$7</f>
        <v>2555934.503625989</v>
      </c>
      <c r="M182" s="37" t="str">
        <f t="shared" si="56"/>
        <v>Greater Dynamic Pressures</v>
      </c>
      <c r="N182" s="23">
        <f t="shared" si="71"/>
        <v>119.58901446442678</v>
      </c>
      <c r="O182" s="56">
        <f t="shared" si="57"/>
        <v>108.32879425868418</v>
      </c>
      <c r="P182" s="65">
        <f>MAX(I182*1000/'Calculation Constants'!$B$14,O182*10*I182*1000/2/('Calculation Constants'!$B$12*1000*'Calculation Constants'!$B$13))</f>
        <v>11.25</v>
      </c>
      <c r="Q182" s="67">
        <f t="shared" si="58"/>
        <v>992548.40161508287</v>
      </c>
      <c r="R182" s="27">
        <f>(1/(2*LOG(3.7*$I182/'Calculation Constants'!$B$2*1000)))^2</f>
        <v>8.7463077071963571E-3</v>
      </c>
      <c r="S182" s="19">
        <f t="shared" si="72"/>
        <v>1.2752477269849725</v>
      </c>
      <c r="T182" s="19">
        <f>IF($H182&gt;0,'Calculation Constants'!$B$9*Hydraulics!$K182^2/2/9.81/MAX($F$4:$F$253)*$H182,"")</f>
        <v>7.8734226558858159E-2</v>
      </c>
      <c r="U182" s="19">
        <f t="shared" si="73"/>
        <v>1.3539819535438307</v>
      </c>
      <c r="V182" s="19">
        <f t="shared" si="59"/>
        <v>0</v>
      </c>
      <c r="W182" s="19">
        <f t="shared" si="60"/>
        <v>119.58901446442678</v>
      </c>
      <c r="X182" s="23">
        <f t="shared" si="61"/>
        <v>1179.1690144644267</v>
      </c>
      <c r="Y182" s="22">
        <f>(1/(2*LOG(3.7*$I182/'Calculation Constants'!$B$3*1000)))^2</f>
        <v>9.8211436332891755E-3</v>
      </c>
      <c r="Z182" s="19">
        <f t="shared" si="62"/>
        <v>1.431963236834217</v>
      </c>
      <c r="AA182" s="19">
        <f>IF($H182&gt;0,'Calculation Constants'!$B$9*Hydraulics!$K182^2/2/9.81/MAX($F$4:$F$253)*$H182,"")</f>
        <v>7.8734226558858159E-2</v>
      </c>
      <c r="AB182" s="19">
        <f t="shared" si="81"/>
        <v>1.5106974633930752</v>
      </c>
      <c r="AC182" s="19">
        <f t="shared" si="63"/>
        <v>0</v>
      </c>
      <c r="AD182" s="19">
        <f t="shared" si="74"/>
        <v>108.32879425868418</v>
      </c>
      <c r="AE182" s="23">
        <f t="shared" si="64"/>
        <v>1167.9087942586841</v>
      </c>
      <c r="AF182" s="27">
        <f>(1/(2*LOG(3.7*$I182/'Calculation Constants'!$B$4*1000)))^2</f>
        <v>1.1575055557914658E-2</v>
      </c>
      <c r="AG182" s="19">
        <f t="shared" si="65"/>
        <v>1.6876908272744866</v>
      </c>
      <c r="AH182" s="19">
        <f>IF($H182&gt;0,'Calculation Constants'!$B$9*Hydraulics!$K182^2/2/9.81/MAX($F$4:$F$253)*$H182,"")</f>
        <v>7.8734226558858159E-2</v>
      </c>
      <c r="AI182" s="19">
        <f t="shared" si="75"/>
        <v>1.7664250538333448</v>
      </c>
      <c r="AJ182" s="19">
        <f t="shared" si="66"/>
        <v>0</v>
      </c>
      <c r="AK182" s="19">
        <f t="shared" si="76"/>
        <v>90.00710140039746</v>
      </c>
      <c r="AL182" s="23">
        <f t="shared" si="67"/>
        <v>1149.5871014003974</v>
      </c>
      <c r="AM182" s="22">
        <f>(1/(2*LOG(3.7*($I182-0.008)/'Calculation Constants'!$B$5*1000)))^2</f>
        <v>1.4709705891825043E-2</v>
      </c>
      <c r="AN182" s="19">
        <f t="shared" si="77"/>
        <v>2.1543104841910781</v>
      </c>
      <c r="AO182" s="19">
        <f>IF($H182&gt;0,'Calculation Constants'!$B$9*Hydraulics!$K182^2/2/9.81/MAX($F$4:$F$253)*$H182,"")</f>
        <v>7.8734226558858159E-2</v>
      </c>
      <c r="AP182" s="19">
        <f t="shared" si="78"/>
        <v>2.2330447107499363</v>
      </c>
      <c r="AQ182" s="19">
        <f t="shared" si="68"/>
        <v>0</v>
      </c>
      <c r="AR182" s="19">
        <f t="shared" si="79"/>
        <v>56.838277028195989</v>
      </c>
      <c r="AS182" s="23">
        <f t="shared" si="69"/>
        <v>1116.4182770281959</v>
      </c>
    </row>
    <row r="183" spans="5:45">
      <c r="E183" s="35" t="str">
        <f t="shared" si="55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0"/>
        <v>2</v>
      </c>
      <c r="I183" s="19">
        <v>1.8</v>
      </c>
      <c r="J183" s="36">
        <f>'Flow Rate Calculations'!$B$7</f>
        <v>4.0831050228310497</v>
      </c>
      <c r="K183" s="36">
        <f t="shared" si="70"/>
        <v>1.6045588828318709</v>
      </c>
      <c r="L183" s="37">
        <f>$I183*$K183/'Calculation Constants'!$B$7</f>
        <v>2555934.503625989</v>
      </c>
      <c r="M183" s="37" t="str">
        <f t="shared" si="56"/>
        <v>Greater Dynamic Pressures</v>
      </c>
      <c r="N183" s="23">
        <f t="shared" si="71"/>
        <v>122.53103251088282</v>
      </c>
      <c r="O183" s="56">
        <f t="shared" si="57"/>
        <v>111.11409679529083</v>
      </c>
      <c r="P183" s="65">
        <f>MAX(I183*1000/'Calculation Constants'!$B$14,O183*10*I183*1000/2/('Calculation Constants'!$B$12*1000*'Calculation Constants'!$B$13))</f>
        <v>11.25</v>
      </c>
      <c r="Q183" s="67">
        <f t="shared" si="58"/>
        <v>992548.40161508287</v>
      </c>
      <c r="R183" s="27">
        <f>(1/(2*LOG(3.7*$I183/'Calculation Constants'!$B$2*1000)))^2</f>
        <v>8.7463077071963571E-3</v>
      </c>
      <c r="S183" s="19">
        <f t="shared" si="72"/>
        <v>1.2752477269849725</v>
      </c>
      <c r="T183" s="19">
        <f>IF($H183&gt;0,'Calculation Constants'!$B$9*Hydraulics!$K183^2/2/9.81/MAX($F$4:$F$253)*$H183,"")</f>
        <v>7.8734226558858159E-2</v>
      </c>
      <c r="U183" s="19">
        <f t="shared" si="73"/>
        <v>1.3539819535438307</v>
      </c>
      <c r="V183" s="19">
        <f t="shared" si="59"/>
        <v>0</v>
      </c>
      <c r="W183" s="19">
        <f t="shared" si="60"/>
        <v>122.53103251088282</v>
      </c>
      <c r="X183" s="23">
        <f t="shared" si="61"/>
        <v>1177.8150325108829</v>
      </c>
      <c r="Y183" s="22">
        <f>(1/(2*LOG(3.7*$I183/'Calculation Constants'!$B$3*1000)))^2</f>
        <v>9.8211436332891755E-3</v>
      </c>
      <c r="Z183" s="19">
        <f t="shared" si="62"/>
        <v>1.431963236834217</v>
      </c>
      <c r="AA183" s="19">
        <f>IF($H183&gt;0,'Calculation Constants'!$B$9*Hydraulics!$K183^2/2/9.81/MAX($F$4:$F$253)*$H183,"")</f>
        <v>7.8734226558858159E-2</v>
      </c>
      <c r="AB183" s="19">
        <f t="shared" si="81"/>
        <v>1.5106974633930752</v>
      </c>
      <c r="AC183" s="19">
        <f t="shared" si="63"/>
        <v>0</v>
      </c>
      <c r="AD183" s="19">
        <f t="shared" si="74"/>
        <v>111.11409679529083</v>
      </c>
      <c r="AE183" s="23">
        <f t="shared" si="64"/>
        <v>1166.3980967952909</v>
      </c>
      <c r="AF183" s="27">
        <f>(1/(2*LOG(3.7*$I183/'Calculation Constants'!$B$4*1000)))^2</f>
        <v>1.1575055557914658E-2</v>
      </c>
      <c r="AG183" s="19">
        <f t="shared" si="65"/>
        <v>1.6876908272744866</v>
      </c>
      <c r="AH183" s="19">
        <f>IF($H183&gt;0,'Calculation Constants'!$B$9*Hydraulics!$K183^2/2/9.81/MAX($F$4:$F$253)*$H183,"")</f>
        <v>7.8734226558858159E-2</v>
      </c>
      <c r="AI183" s="19">
        <f t="shared" si="75"/>
        <v>1.7664250538333448</v>
      </c>
      <c r="AJ183" s="19">
        <f t="shared" si="66"/>
        <v>0</v>
      </c>
      <c r="AK183" s="19">
        <f t="shared" si="76"/>
        <v>92.536676346564036</v>
      </c>
      <c r="AL183" s="23">
        <f t="shared" si="67"/>
        <v>1147.8206763465641</v>
      </c>
      <c r="AM183" s="22">
        <f>(1/(2*LOG(3.7*($I183-0.008)/'Calculation Constants'!$B$5*1000)))^2</f>
        <v>1.4709705891825043E-2</v>
      </c>
      <c r="AN183" s="19">
        <f t="shared" si="77"/>
        <v>2.1543104841910781</v>
      </c>
      <c r="AO183" s="19">
        <f>IF($H183&gt;0,'Calculation Constants'!$B$9*Hydraulics!$K183^2/2/9.81/MAX($F$4:$F$253)*$H183,"")</f>
        <v>7.8734226558858159E-2</v>
      </c>
      <c r="AP183" s="19">
        <f t="shared" si="78"/>
        <v>2.2330447107499363</v>
      </c>
      <c r="AQ183" s="19">
        <f t="shared" si="68"/>
        <v>0</v>
      </c>
      <c r="AR183" s="19">
        <f t="shared" si="79"/>
        <v>58.901232317445874</v>
      </c>
      <c r="AS183" s="23">
        <f t="shared" si="69"/>
        <v>1114.185232317446</v>
      </c>
    </row>
    <row r="184" spans="5:45">
      <c r="E184" s="35" t="str">
        <f t="shared" si="55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0"/>
        <v>2</v>
      </c>
      <c r="I184" s="19">
        <v>1.8</v>
      </c>
      <c r="J184" s="36">
        <f>'Flow Rate Calculations'!$B$7</f>
        <v>4.0831050228310497</v>
      </c>
      <c r="K184" s="36">
        <f t="shared" si="70"/>
        <v>1.6045588828318709</v>
      </c>
      <c r="L184" s="37">
        <f>$I184*$K184/'Calculation Constants'!$B$7</f>
        <v>2555934.503625989</v>
      </c>
      <c r="M184" s="37" t="str">
        <f t="shared" si="56"/>
        <v>Greater Dynamic Pressures</v>
      </c>
      <c r="N184" s="23">
        <f t="shared" si="71"/>
        <v>125.57505055733918</v>
      </c>
      <c r="O184" s="56">
        <f t="shared" si="57"/>
        <v>114.0013993318978</v>
      </c>
      <c r="P184" s="65">
        <f>MAX(I184*1000/'Calculation Constants'!$B$14,O184*10*I184*1000/2/('Calculation Constants'!$B$12*1000*'Calculation Constants'!$B$13))</f>
        <v>11.25</v>
      </c>
      <c r="Q184" s="67">
        <f t="shared" si="58"/>
        <v>992548.40161508287</v>
      </c>
      <c r="R184" s="27">
        <f>(1/(2*LOG(3.7*$I184/'Calculation Constants'!$B$2*1000)))^2</f>
        <v>8.7463077071963571E-3</v>
      </c>
      <c r="S184" s="19">
        <f t="shared" si="72"/>
        <v>1.2752477269849725</v>
      </c>
      <c r="T184" s="19">
        <f>IF($H184&gt;0,'Calculation Constants'!$B$9*Hydraulics!$K184^2/2/9.81/MAX($F$4:$F$253)*$H184,"")</f>
        <v>7.8734226558858159E-2</v>
      </c>
      <c r="U184" s="19">
        <f t="shared" si="73"/>
        <v>1.3539819535438307</v>
      </c>
      <c r="V184" s="19">
        <f t="shared" si="59"/>
        <v>0</v>
      </c>
      <c r="W184" s="19">
        <f t="shared" si="60"/>
        <v>125.57505055733918</v>
      </c>
      <c r="X184" s="23">
        <f t="shared" si="61"/>
        <v>1176.4610505573391</v>
      </c>
      <c r="Y184" s="22">
        <f>(1/(2*LOG(3.7*$I184/'Calculation Constants'!$B$3*1000)))^2</f>
        <v>9.8211436332891755E-3</v>
      </c>
      <c r="Z184" s="19">
        <f t="shared" si="62"/>
        <v>1.431963236834217</v>
      </c>
      <c r="AA184" s="19">
        <f>IF($H184&gt;0,'Calculation Constants'!$B$9*Hydraulics!$K184^2/2/9.81/MAX($F$4:$F$253)*$H184,"")</f>
        <v>7.8734226558858159E-2</v>
      </c>
      <c r="AB184" s="19">
        <f t="shared" si="81"/>
        <v>1.5106974633930752</v>
      </c>
      <c r="AC184" s="19">
        <f t="shared" si="63"/>
        <v>0</v>
      </c>
      <c r="AD184" s="19">
        <f t="shared" si="74"/>
        <v>114.0013993318978</v>
      </c>
      <c r="AE184" s="23">
        <f t="shared" si="64"/>
        <v>1164.8873993318978</v>
      </c>
      <c r="AF184" s="27">
        <f>(1/(2*LOG(3.7*$I184/'Calculation Constants'!$B$4*1000)))^2</f>
        <v>1.1575055557914658E-2</v>
      </c>
      <c r="AG184" s="19">
        <f t="shared" si="65"/>
        <v>1.6876908272744866</v>
      </c>
      <c r="AH184" s="19">
        <f>IF($H184&gt;0,'Calculation Constants'!$B$9*Hydraulics!$K184^2/2/9.81/MAX($F$4:$F$253)*$H184,"")</f>
        <v>7.8734226558858159E-2</v>
      </c>
      <c r="AI184" s="19">
        <f t="shared" si="75"/>
        <v>1.7664250538333448</v>
      </c>
      <c r="AJ184" s="19">
        <f t="shared" si="66"/>
        <v>0</v>
      </c>
      <c r="AK184" s="19">
        <f t="shared" si="76"/>
        <v>95.168251292730929</v>
      </c>
      <c r="AL184" s="23">
        <f t="shared" si="67"/>
        <v>1146.0542512927309</v>
      </c>
      <c r="AM184" s="22">
        <f>(1/(2*LOG(3.7*($I184-0.008)/'Calculation Constants'!$B$5*1000)))^2</f>
        <v>1.4709705891825043E-2</v>
      </c>
      <c r="AN184" s="19">
        <f t="shared" si="77"/>
        <v>2.1543104841910781</v>
      </c>
      <c r="AO184" s="19">
        <f>IF($H184&gt;0,'Calculation Constants'!$B$9*Hydraulics!$K184^2/2/9.81/MAX($F$4:$F$253)*$H184,"")</f>
        <v>7.8734226558858159E-2</v>
      </c>
      <c r="AP184" s="19">
        <f t="shared" si="78"/>
        <v>2.2330447107499363</v>
      </c>
      <c r="AQ184" s="19">
        <f t="shared" si="68"/>
        <v>0</v>
      </c>
      <c r="AR184" s="19">
        <f t="shared" si="79"/>
        <v>61.066187606696076</v>
      </c>
      <c r="AS184" s="23">
        <f t="shared" si="69"/>
        <v>1111.952187606696</v>
      </c>
    </row>
    <row r="185" spans="5:45">
      <c r="E185" s="35" t="str">
        <f t="shared" si="55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0"/>
        <v>2</v>
      </c>
      <c r="I185" s="19">
        <v>1.8</v>
      </c>
      <c r="J185" s="36">
        <f>'Flow Rate Calculations'!$B$7</f>
        <v>4.0831050228310497</v>
      </c>
      <c r="K185" s="36">
        <f t="shared" si="70"/>
        <v>1.6045588828318709</v>
      </c>
      <c r="L185" s="37">
        <f>$I185*$K185/'Calculation Constants'!$B$7</f>
        <v>2555934.503625989</v>
      </c>
      <c r="M185" s="37" t="str">
        <f t="shared" si="56"/>
        <v>Greater Dynamic Pressures</v>
      </c>
      <c r="N185" s="23">
        <f t="shared" si="71"/>
        <v>122.46006860379543</v>
      </c>
      <c r="O185" s="56">
        <f t="shared" si="57"/>
        <v>110.72970186850466</v>
      </c>
      <c r="P185" s="65">
        <f>MAX(I185*1000/'Calculation Constants'!$B$14,O185*10*I185*1000/2/('Calculation Constants'!$B$12*1000*'Calculation Constants'!$B$13))</f>
        <v>11.25</v>
      </c>
      <c r="Q185" s="67">
        <f t="shared" si="58"/>
        <v>992548.40161508287</v>
      </c>
      <c r="R185" s="27">
        <f>(1/(2*LOG(3.7*$I185/'Calculation Constants'!$B$2*1000)))^2</f>
        <v>8.7463077071963571E-3</v>
      </c>
      <c r="S185" s="19">
        <f t="shared" si="72"/>
        <v>1.2752477269849725</v>
      </c>
      <c r="T185" s="19">
        <f>IF($H185&gt;0,'Calculation Constants'!$B$9*Hydraulics!$K185^2/2/9.81/MAX($F$4:$F$253)*$H185,"")</f>
        <v>7.8734226558858159E-2</v>
      </c>
      <c r="U185" s="19">
        <f t="shared" si="73"/>
        <v>1.3539819535438307</v>
      </c>
      <c r="V185" s="19">
        <f t="shared" si="59"/>
        <v>0</v>
      </c>
      <c r="W185" s="19">
        <f t="shared" si="60"/>
        <v>122.46006860379543</v>
      </c>
      <c r="X185" s="23">
        <f t="shared" si="61"/>
        <v>1175.1070686037954</v>
      </c>
      <c r="Y185" s="22">
        <f>(1/(2*LOG(3.7*$I185/'Calculation Constants'!$B$3*1000)))^2</f>
        <v>9.8211436332891755E-3</v>
      </c>
      <c r="Z185" s="19">
        <f t="shared" si="62"/>
        <v>1.431963236834217</v>
      </c>
      <c r="AA185" s="19">
        <f>IF($H185&gt;0,'Calculation Constants'!$B$9*Hydraulics!$K185^2/2/9.81/MAX($F$4:$F$253)*$H185,"")</f>
        <v>7.8734226558858159E-2</v>
      </c>
      <c r="AB185" s="19">
        <f t="shared" si="81"/>
        <v>1.5106974633930752</v>
      </c>
      <c r="AC185" s="19">
        <f t="shared" si="63"/>
        <v>0</v>
      </c>
      <c r="AD185" s="19">
        <f t="shared" si="74"/>
        <v>110.72970186850466</v>
      </c>
      <c r="AE185" s="23">
        <f t="shared" si="64"/>
        <v>1163.3767018685046</v>
      </c>
      <c r="AF185" s="27">
        <f>(1/(2*LOG(3.7*$I185/'Calculation Constants'!$B$4*1000)))^2</f>
        <v>1.1575055557914658E-2</v>
      </c>
      <c r="AG185" s="19">
        <f t="shared" si="65"/>
        <v>1.6876908272744866</v>
      </c>
      <c r="AH185" s="19">
        <f>IF($H185&gt;0,'Calculation Constants'!$B$9*Hydraulics!$K185^2/2/9.81/MAX($F$4:$F$253)*$H185,"")</f>
        <v>7.8734226558858159E-2</v>
      </c>
      <c r="AI185" s="19">
        <f t="shared" si="75"/>
        <v>1.7664250538333448</v>
      </c>
      <c r="AJ185" s="19">
        <f t="shared" si="66"/>
        <v>0</v>
      </c>
      <c r="AK185" s="19">
        <f t="shared" si="76"/>
        <v>91.640826238897716</v>
      </c>
      <c r="AL185" s="23">
        <f t="shared" si="67"/>
        <v>1144.2878262388977</v>
      </c>
      <c r="AM185" s="22">
        <f>(1/(2*LOG(3.7*($I185-0.008)/'Calculation Constants'!$B$5*1000)))^2</f>
        <v>1.4709705891825043E-2</v>
      </c>
      <c r="AN185" s="19">
        <f t="shared" si="77"/>
        <v>2.1543104841910781</v>
      </c>
      <c r="AO185" s="19">
        <f>IF($H185&gt;0,'Calculation Constants'!$B$9*Hydraulics!$K185^2/2/9.81/MAX($F$4:$F$253)*$H185,"")</f>
        <v>7.8734226558858159E-2</v>
      </c>
      <c r="AP185" s="19">
        <f t="shared" si="78"/>
        <v>2.2330447107499363</v>
      </c>
      <c r="AQ185" s="19">
        <f t="shared" si="68"/>
        <v>0</v>
      </c>
      <c r="AR185" s="19">
        <f t="shared" si="79"/>
        <v>57.072142895946172</v>
      </c>
      <c r="AS185" s="23">
        <f t="shared" si="69"/>
        <v>1109.7191428959461</v>
      </c>
    </row>
    <row r="186" spans="5:45">
      <c r="E186" s="35" t="str">
        <f t="shared" si="55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0"/>
        <v>2</v>
      </c>
      <c r="I186" s="19">
        <v>1.8</v>
      </c>
      <c r="J186" s="36">
        <f>'Flow Rate Calculations'!$B$7</f>
        <v>4.0831050228310497</v>
      </c>
      <c r="K186" s="36">
        <f t="shared" si="70"/>
        <v>1.6045588828318709</v>
      </c>
      <c r="L186" s="37">
        <f>$I186*$K186/'Calculation Constants'!$B$7</f>
        <v>2555934.503625989</v>
      </c>
      <c r="M186" s="37" t="str">
        <f t="shared" si="56"/>
        <v>Greater Dynamic Pressures</v>
      </c>
      <c r="N186" s="23">
        <f t="shared" si="71"/>
        <v>122.63608665025163</v>
      </c>
      <c r="O186" s="56">
        <f t="shared" si="57"/>
        <v>110.74900440511146</v>
      </c>
      <c r="P186" s="65">
        <f>MAX(I186*1000/'Calculation Constants'!$B$14,O186*10*I186*1000/2/('Calculation Constants'!$B$12*1000*'Calculation Constants'!$B$13))</f>
        <v>11.25</v>
      </c>
      <c r="Q186" s="67">
        <f t="shared" si="58"/>
        <v>992548.40161508287</v>
      </c>
      <c r="R186" s="27">
        <f>(1/(2*LOG(3.7*$I186/'Calculation Constants'!$B$2*1000)))^2</f>
        <v>8.7463077071963571E-3</v>
      </c>
      <c r="S186" s="19">
        <f t="shared" si="72"/>
        <v>1.2752477269849725</v>
      </c>
      <c r="T186" s="19">
        <f>IF($H186&gt;0,'Calculation Constants'!$B$9*Hydraulics!$K186^2/2/9.81/MAX($F$4:$F$253)*$H186,"")</f>
        <v>7.8734226558858159E-2</v>
      </c>
      <c r="U186" s="19">
        <f t="shared" si="73"/>
        <v>1.3539819535438307</v>
      </c>
      <c r="V186" s="19">
        <f t="shared" si="59"/>
        <v>0</v>
      </c>
      <c r="W186" s="19">
        <f t="shared" si="60"/>
        <v>122.63608665025163</v>
      </c>
      <c r="X186" s="23">
        <f t="shared" si="61"/>
        <v>1173.7530866502516</v>
      </c>
      <c r="Y186" s="22">
        <f>(1/(2*LOG(3.7*$I186/'Calculation Constants'!$B$3*1000)))^2</f>
        <v>9.8211436332891755E-3</v>
      </c>
      <c r="Z186" s="19">
        <f t="shared" si="62"/>
        <v>1.431963236834217</v>
      </c>
      <c r="AA186" s="19">
        <f>IF($H186&gt;0,'Calculation Constants'!$B$9*Hydraulics!$K186^2/2/9.81/MAX($F$4:$F$253)*$H186,"")</f>
        <v>7.8734226558858159E-2</v>
      </c>
      <c r="AB186" s="19">
        <f t="shared" si="81"/>
        <v>1.5106974633930752</v>
      </c>
      <c r="AC186" s="19">
        <f t="shared" si="63"/>
        <v>0</v>
      </c>
      <c r="AD186" s="19">
        <f t="shared" si="74"/>
        <v>110.74900440511146</v>
      </c>
      <c r="AE186" s="23">
        <f t="shared" si="64"/>
        <v>1161.8660044051114</v>
      </c>
      <c r="AF186" s="27">
        <f>(1/(2*LOG(3.7*$I186/'Calculation Constants'!$B$4*1000)))^2</f>
        <v>1.1575055557914658E-2</v>
      </c>
      <c r="AG186" s="19">
        <f t="shared" si="65"/>
        <v>1.6876908272744866</v>
      </c>
      <c r="AH186" s="19">
        <f>IF($H186&gt;0,'Calculation Constants'!$B$9*Hydraulics!$K186^2/2/9.81/MAX($F$4:$F$253)*$H186,"")</f>
        <v>7.8734226558858159E-2</v>
      </c>
      <c r="AI186" s="19">
        <f t="shared" si="75"/>
        <v>1.7664250538333448</v>
      </c>
      <c r="AJ186" s="19">
        <f t="shared" si="66"/>
        <v>0</v>
      </c>
      <c r="AK186" s="19">
        <f t="shared" si="76"/>
        <v>91.404401185064444</v>
      </c>
      <c r="AL186" s="23">
        <f t="shared" si="67"/>
        <v>1142.5214011850644</v>
      </c>
      <c r="AM186" s="22">
        <f>(1/(2*LOG(3.7*($I186-0.008)/'Calculation Constants'!$B$5*1000)))^2</f>
        <v>1.4709705891825043E-2</v>
      </c>
      <c r="AN186" s="19">
        <f t="shared" si="77"/>
        <v>2.1543104841910781</v>
      </c>
      <c r="AO186" s="19">
        <f>IF($H186&gt;0,'Calculation Constants'!$B$9*Hydraulics!$K186^2/2/9.81/MAX($F$4:$F$253)*$H186,"")</f>
        <v>7.8734226558858159E-2</v>
      </c>
      <c r="AP186" s="19">
        <f t="shared" si="78"/>
        <v>2.2330447107499363</v>
      </c>
      <c r="AQ186" s="19">
        <f t="shared" si="68"/>
        <v>0</v>
      </c>
      <c r="AR186" s="19">
        <f t="shared" si="79"/>
        <v>56.369098185196208</v>
      </c>
      <c r="AS186" s="23">
        <f t="shared" si="69"/>
        <v>1107.4860981851962</v>
      </c>
    </row>
    <row r="187" spans="5:45">
      <c r="E187" s="35" t="str">
        <f t="shared" si="55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0"/>
        <v>2</v>
      </c>
      <c r="I187" s="19">
        <v>1.8</v>
      </c>
      <c r="J187" s="36">
        <f>'Flow Rate Calculations'!$B$7</f>
        <v>4.0831050228310497</v>
      </c>
      <c r="K187" s="36">
        <f t="shared" si="70"/>
        <v>1.6045588828318709</v>
      </c>
      <c r="L187" s="37">
        <f>$I187*$K187/'Calculation Constants'!$B$7</f>
        <v>2555934.503625989</v>
      </c>
      <c r="M187" s="37" t="str">
        <f t="shared" si="56"/>
        <v>Greater Dynamic Pressures</v>
      </c>
      <c r="N187" s="23">
        <f t="shared" si="71"/>
        <v>124.13310469670773</v>
      </c>
      <c r="O187" s="56">
        <f t="shared" si="57"/>
        <v>112.08930694171818</v>
      </c>
      <c r="P187" s="65">
        <f>MAX(I187*1000/'Calculation Constants'!$B$14,O187*10*I187*1000/2/('Calculation Constants'!$B$12*1000*'Calculation Constants'!$B$13))</f>
        <v>11.25</v>
      </c>
      <c r="Q187" s="67">
        <f t="shared" si="58"/>
        <v>992548.40161508287</v>
      </c>
      <c r="R187" s="27">
        <f>(1/(2*LOG(3.7*$I187/'Calculation Constants'!$B$2*1000)))^2</f>
        <v>8.7463077071963571E-3</v>
      </c>
      <c r="S187" s="19">
        <f t="shared" si="72"/>
        <v>1.2752477269849725</v>
      </c>
      <c r="T187" s="19">
        <f>IF($H187&gt;0,'Calculation Constants'!$B$9*Hydraulics!$K187^2/2/9.81/MAX($F$4:$F$253)*$H187,"")</f>
        <v>7.8734226558858159E-2</v>
      </c>
      <c r="U187" s="19">
        <f t="shared" si="73"/>
        <v>1.3539819535438307</v>
      </c>
      <c r="V187" s="19">
        <f t="shared" si="59"/>
        <v>0</v>
      </c>
      <c r="W187" s="19">
        <f t="shared" si="60"/>
        <v>124.13310469670773</v>
      </c>
      <c r="X187" s="23">
        <f t="shared" si="61"/>
        <v>1172.3991046967078</v>
      </c>
      <c r="Y187" s="22">
        <f>(1/(2*LOG(3.7*$I187/'Calculation Constants'!$B$3*1000)))^2</f>
        <v>9.8211436332891755E-3</v>
      </c>
      <c r="Z187" s="19">
        <f t="shared" si="62"/>
        <v>1.431963236834217</v>
      </c>
      <c r="AA187" s="19">
        <f>IF($H187&gt;0,'Calculation Constants'!$B$9*Hydraulics!$K187^2/2/9.81/MAX($F$4:$F$253)*$H187,"")</f>
        <v>7.8734226558858159E-2</v>
      </c>
      <c r="AB187" s="19">
        <f t="shared" si="81"/>
        <v>1.5106974633930752</v>
      </c>
      <c r="AC187" s="19">
        <f t="shared" si="63"/>
        <v>0</v>
      </c>
      <c r="AD187" s="19">
        <f t="shared" si="74"/>
        <v>112.08930694171818</v>
      </c>
      <c r="AE187" s="23">
        <f t="shared" si="64"/>
        <v>1160.3553069417183</v>
      </c>
      <c r="AF187" s="27">
        <f>(1/(2*LOG(3.7*$I187/'Calculation Constants'!$B$4*1000)))^2</f>
        <v>1.1575055557914658E-2</v>
      </c>
      <c r="AG187" s="19">
        <f t="shared" si="65"/>
        <v>1.6876908272744866</v>
      </c>
      <c r="AH187" s="19">
        <f>IF($H187&gt;0,'Calculation Constants'!$B$9*Hydraulics!$K187^2/2/9.81/MAX($F$4:$F$253)*$H187,"")</f>
        <v>7.8734226558858159E-2</v>
      </c>
      <c r="AI187" s="19">
        <f t="shared" si="75"/>
        <v>1.7664250538333448</v>
      </c>
      <c r="AJ187" s="19">
        <f t="shared" si="66"/>
        <v>0</v>
      </c>
      <c r="AK187" s="19">
        <f t="shared" si="76"/>
        <v>92.488976131231084</v>
      </c>
      <c r="AL187" s="23">
        <f t="shared" si="67"/>
        <v>1140.7549761312312</v>
      </c>
      <c r="AM187" s="22">
        <f>(1/(2*LOG(3.7*($I187-0.008)/'Calculation Constants'!$B$5*1000)))^2</f>
        <v>1.4709705891825043E-2</v>
      </c>
      <c r="AN187" s="19">
        <f t="shared" si="77"/>
        <v>2.1543104841910781</v>
      </c>
      <c r="AO187" s="19">
        <f>IF($H187&gt;0,'Calculation Constants'!$B$9*Hydraulics!$K187^2/2/9.81/MAX($F$4:$F$253)*$H187,"")</f>
        <v>7.8734226558858159E-2</v>
      </c>
      <c r="AP187" s="19">
        <f t="shared" si="78"/>
        <v>2.2330447107499363</v>
      </c>
      <c r="AQ187" s="19">
        <f t="shared" si="68"/>
        <v>0</v>
      </c>
      <c r="AR187" s="19">
        <f t="shared" si="79"/>
        <v>56.987053474446157</v>
      </c>
      <c r="AS187" s="23">
        <f t="shared" si="69"/>
        <v>1105.2530534744462</v>
      </c>
    </row>
    <row r="188" spans="5:45">
      <c r="E188" s="35" t="str">
        <f t="shared" si="55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0"/>
        <v>2</v>
      </c>
      <c r="I188" s="19">
        <v>1.8</v>
      </c>
      <c r="J188" s="36">
        <f>'Flow Rate Calculations'!$B$7</f>
        <v>4.0831050228310497</v>
      </c>
      <c r="K188" s="36">
        <f t="shared" si="70"/>
        <v>1.6045588828318709</v>
      </c>
      <c r="L188" s="37">
        <f>$I188*$K188/'Calculation Constants'!$B$7</f>
        <v>2555934.503625989</v>
      </c>
      <c r="M188" s="37" t="str">
        <f t="shared" si="56"/>
        <v>Greater Dynamic Pressures</v>
      </c>
      <c r="N188" s="23">
        <f t="shared" si="71"/>
        <v>130.873122743164</v>
      </c>
      <c r="O188" s="56">
        <f t="shared" si="57"/>
        <v>118.67260947832506</v>
      </c>
      <c r="P188" s="65">
        <f>MAX(I188*1000/'Calculation Constants'!$B$14,O188*10*I188*1000/2/('Calculation Constants'!$B$12*1000*'Calculation Constants'!$B$13))</f>
        <v>11.25</v>
      </c>
      <c r="Q188" s="67">
        <f t="shared" si="58"/>
        <v>992548.40161508287</v>
      </c>
      <c r="R188" s="27">
        <f>(1/(2*LOG(3.7*$I188/'Calculation Constants'!$B$2*1000)))^2</f>
        <v>8.7463077071963571E-3</v>
      </c>
      <c r="S188" s="19">
        <f t="shared" si="72"/>
        <v>1.2752477269849725</v>
      </c>
      <c r="T188" s="19">
        <f>IF($H188&gt;0,'Calculation Constants'!$B$9*Hydraulics!$K188^2/2/9.81/MAX($F$4:$F$253)*$H188,"")</f>
        <v>7.8734226558858159E-2</v>
      </c>
      <c r="U188" s="19">
        <f t="shared" si="73"/>
        <v>1.3539819535438307</v>
      </c>
      <c r="V188" s="19">
        <f t="shared" si="59"/>
        <v>0</v>
      </c>
      <c r="W188" s="19">
        <f t="shared" si="60"/>
        <v>130.873122743164</v>
      </c>
      <c r="X188" s="23">
        <f t="shared" si="61"/>
        <v>1171.045122743164</v>
      </c>
      <c r="Y188" s="22">
        <f>(1/(2*LOG(3.7*$I188/'Calculation Constants'!$B$3*1000)))^2</f>
        <v>9.8211436332891755E-3</v>
      </c>
      <c r="Z188" s="19">
        <f t="shared" si="62"/>
        <v>1.431963236834217</v>
      </c>
      <c r="AA188" s="19">
        <f>IF($H188&gt;0,'Calculation Constants'!$B$9*Hydraulics!$K188^2/2/9.81/MAX($F$4:$F$253)*$H188,"")</f>
        <v>7.8734226558858159E-2</v>
      </c>
      <c r="AB188" s="19">
        <f t="shared" si="81"/>
        <v>1.5106974633930752</v>
      </c>
      <c r="AC188" s="19">
        <f t="shared" si="63"/>
        <v>0</v>
      </c>
      <c r="AD188" s="19">
        <f t="shared" si="74"/>
        <v>118.67260947832506</v>
      </c>
      <c r="AE188" s="23">
        <f t="shared" si="64"/>
        <v>1158.8446094783251</v>
      </c>
      <c r="AF188" s="27">
        <f>(1/(2*LOG(3.7*$I188/'Calculation Constants'!$B$4*1000)))^2</f>
        <v>1.1575055557914658E-2</v>
      </c>
      <c r="AG188" s="19">
        <f t="shared" si="65"/>
        <v>1.6876908272744866</v>
      </c>
      <c r="AH188" s="19">
        <f>IF($H188&gt;0,'Calculation Constants'!$B$9*Hydraulics!$K188^2/2/9.81/MAX($F$4:$F$253)*$H188,"")</f>
        <v>7.8734226558858159E-2</v>
      </c>
      <c r="AI188" s="19">
        <f t="shared" si="75"/>
        <v>1.7664250538333448</v>
      </c>
      <c r="AJ188" s="19">
        <f t="shared" si="66"/>
        <v>0</v>
      </c>
      <c r="AK188" s="19">
        <f t="shared" si="76"/>
        <v>98.816551077397889</v>
      </c>
      <c r="AL188" s="23">
        <f t="shared" si="67"/>
        <v>1138.9885510773979</v>
      </c>
      <c r="AM188" s="22">
        <f>(1/(2*LOG(3.7*($I188-0.008)/'Calculation Constants'!$B$5*1000)))^2</f>
        <v>1.4709705891825043E-2</v>
      </c>
      <c r="AN188" s="19">
        <f t="shared" si="77"/>
        <v>2.1543104841910781</v>
      </c>
      <c r="AO188" s="19">
        <f>IF($H188&gt;0,'Calculation Constants'!$B$9*Hydraulics!$K188^2/2/9.81/MAX($F$4:$F$253)*$H188,"")</f>
        <v>7.8734226558858159E-2</v>
      </c>
      <c r="AP188" s="19">
        <f t="shared" si="78"/>
        <v>2.2330447107499363</v>
      </c>
      <c r="AQ188" s="19">
        <f t="shared" si="68"/>
        <v>0</v>
      </c>
      <c r="AR188" s="19">
        <f t="shared" si="79"/>
        <v>62.848008763696271</v>
      </c>
      <c r="AS188" s="23">
        <f t="shared" si="69"/>
        <v>1103.0200087636963</v>
      </c>
    </row>
    <row r="189" spans="5:45">
      <c r="E189" s="35" t="str">
        <f t="shared" si="55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0"/>
        <v>2</v>
      </c>
      <c r="I189" s="19">
        <v>1.8</v>
      </c>
      <c r="J189" s="36">
        <f>'Flow Rate Calculations'!$B$7</f>
        <v>4.0831050228310497</v>
      </c>
      <c r="K189" s="36">
        <f t="shared" si="70"/>
        <v>1.6045588828318709</v>
      </c>
      <c r="L189" s="37">
        <f>$I189*$K189/'Calculation Constants'!$B$7</f>
        <v>2555934.503625989</v>
      </c>
      <c r="M189" s="37" t="str">
        <f t="shared" si="56"/>
        <v>Greater Dynamic Pressures</v>
      </c>
      <c r="N189" s="23">
        <f t="shared" si="71"/>
        <v>136.2081407896203</v>
      </c>
      <c r="O189" s="56">
        <f t="shared" si="57"/>
        <v>123.85091201493196</v>
      </c>
      <c r="P189" s="65">
        <f>MAX(I189*1000/'Calculation Constants'!$B$14,O189*10*I189*1000/2/('Calculation Constants'!$B$12*1000*'Calculation Constants'!$B$13))</f>
        <v>11.25</v>
      </c>
      <c r="Q189" s="67">
        <f t="shared" si="58"/>
        <v>992548.40161508287</v>
      </c>
      <c r="R189" s="27">
        <f>(1/(2*LOG(3.7*$I189/'Calculation Constants'!$B$2*1000)))^2</f>
        <v>8.7463077071963571E-3</v>
      </c>
      <c r="S189" s="19">
        <f t="shared" si="72"/>
        <v>1.2752477269849725</v>
      </c>
      <c r="T189" s="19">
        <f>IF($H189&gt;0,'Calculation Constants'!$B$9*Hydraulics!$K189^2/2/9.81/MAX($F$4:$F$253)*$H189,"")</f>
        <v>7.8734226558858159E-2</v>
      </c>
      <c r="U189" s="19">
        <f t="shared" si="73"/>
        <v>1.3539819535438307</v>
      </c>
      <c r="V189" s="19">
        <f t="shared" si="59"/>
        <v>0</v>
      </c>
      <c r="W189" s="19">
        <f t="shared" si="60"/>
        <v>136.2081407896203</v>
      </c>
      <c r="X189" s="23">
        <f t="shared" si="61"/>
        <v>1169.6911407896202</v>
      </c>
      <c r="Y189" s="22">
        <f>(1/(2*LOG(3.7*$I189/'Calculation Constants'!$B$3*1000)))^2</f>
        <v>9.8211436332891755E-3</v>
      </c>
      <c r="Z189" s="19">
        <f t="shared" si="62"/>
        <v>1.431963236834217</v>
      </c>
      <c r="AA189" s="19">
        <f>IF($H189&gt;0,'Calculation Constants'!$B$9*Hydraulics!$K189^2/2/9.81/MAX($F$4:$F$253)*$H189,"")</f>
        <v>7.8734226558858159E-2</v>
      </c>
      <c r="AB189" s="19">
        <f t="shared" si="81"/>
        <v>1.5106974633930752</v>
      </c>
      <c r="AC189" s="19">
        <f t="shared" si="63"/>
        <v>0</v>
      </c>
      <c r="AD189" s="19">
        <f t="shared" si="74"/>
        <v>123.85091201493196</v>
      </c>
      <c r="AE189" s="23">
        <f t="shared" si="64"/>
        <v>1157.3339120149319</v>
      </c>
      <c r="AF189" s="27">
        <f>(1/(2*LOG(3.7*$I189/'Calculation Constants'!$B$4*1000)))^2</f>
        <v>1.1575055557914658E-2</v>
      </c>
      <c r="AG189" s="19">
        <f t="shared" si="65"/>
        <v>1.6876908272744866</v>
      </c>
      <c r="AH189" s="19">
        <f>IF($H189&gt;0,'Calculation Constants'!$B$9*Hydraulics!$K189^2/2/9.81/MAX($F$4:$F$253)*$H189,"")</f>
        <v>7.8734226558858159E-2</v>
      </c>
      <c r="AI189" s="19">
        <f t="shared" si="75"/>
        <v>1.7664250538333448</v>
      </c>
      <c r="AJ189" s="19">
        <f t="shared" si="66"/>
        <v>0</v>
      </c>
      <c r="AK189" s="19">
        <f t="shared" si="76"/>
        <v>103.73912602356472</v>
      </c>
      <c r="AL189" s="23">
        <f t="shared" si="67"/>
        <v>1137.2221260235647</v>
      </c>
      <c r="AM189" s="22">
        <f>(1/(2*LOG(3.7*($I189-0.008)/'Calculation Constants'!$B$5*1000)))^2</f>
        <v>1.4709705891825043E-2</v>
      </c>
      <c r="AN189" s="19">
        <f t="shared" si="77"/>
        <v>2.1543104841910781</v>
      </c>
      <c r="AO189" s="19">
        <f>IF($H189&gt;0,'Calculation Constants'!$B$9*Hydraulics!$K189^2/2/9.81/MAX($F$4:$F$253)*$H189,"")</f>
        <v>7.8734226558858159E-2</v>
      </c>
      <c r="AP189" s="19">
        <f t="shared" si="78"/>
        <v>2.2330447107499363</v>
      </c>
      <c r="AQ189" s="19">
        <f t="shared" si="68"/>
        <v>0</v>
      </c>
      <c r="AR189" s="19">
        <f t="shared" si="79"/>
        <v>67.303964052946412</v>
      </c>
      <c r="AS189" s="23">
        <f t="shared" si="69"/>
        <v>1100.7869640529464</v>
      </c>
    </row>
    <row r="190" spans="5:45">
      <c r="E190" s="35" t="str">
        <f t="shared" si="55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0"/>
        <v>2</v>
      </c>
      <c r="I190" s="19">
        <v>1.8</v>
      </c>
      <c r="J190" s="36">
        <f>'Flow Rate Calculations'!$B$7</f>
        <v>4.0831050228310497</v>
      </c>
      <c r="K190" s="36">
        <f t="shared" si="70"/>
        <v>1.6045588828318709</v>
      </c>
      <c r="L190" s="37">
        <f>$I190*$K190/'Calculation Constants'!$B$7</f>
        <v>2555934.503625989</v>
      </c>
      <c r="M190" s="37" t="str">
        <f t="shared" si="56"/>
        <v>Greater Dynamic Pressures</v>
      </c>
      <c r="N190" s="23">
        <f t="shared" si="71"/>
        <v>137.38715883607642</v>
      </c>
      <c r="O190" s="56">
        <f t="shared" si="57"/>
        <v>124.87321455153869</v>
      </c>
      <c r="P190" s="65">
        <f>MAX(I190*1000/'Calculation Constants'!$B$14,O190*10*I190*1000/2/('Calculation Constants'!$B$12*1000*'Calculation Constants'!$B$13))</f>
        <v>11.25</v>
      </c>
      <c r="Q190" s="67">
        <f t="shared" si="58"/>
        <v>992548.40161508287</v>
      </c>
      <c r="R190" s="27">
        <f>(1/(2*LOG(3.7*$I190/'Calculation Constants'!$B$2*1000)))^2</f>
        <v>8.7463077071963571E-3</v>
      </c>
      <c r="S190" s="19">
        <f t="shared" si="72"/>
        <v>1.2752477269849725</v>
      </c>
      <c r="T190" s="19">
        <f>IF($H190&gt;0,'Calculation Constants'!$B$9*Hydraulics!$K190^2/2/9.81/MAX($F$4:$F$253)*$H190,"")</f>
        <v>7.8734226558858159E-2</v>
      </c>
      <c r="U190" s="19">
        <f t="shared" si="73"/>
        <v>1.3539819535438307</v>
      </c>
      <c r="V190" s="19">
        <f t="shared" si="59"/>
        <v>0</v>
      </c>
      <c r="W190" s="19">
        <f t="shared" si="60"/>
        <v>137.38715883607642</v>
      </c>
      <c r="X190" s="23">
        <f t="shared" si="61"/>
        <v>1168.3371588360765</v>
      </c>
      <c r="Y190" s="22">
        <f>(1/(2*LOG(3.7*$I190/'Calculation Constants'!$B$3*1000)))^2</f>
        <v>9.8211436332891755E-3</v>
      </c>
      <c r="Z190" s="19">
        <f t="shared" si="62"/>
        <v>1.431963236834217</v>
      </c>
      <c r="AA190" s="19">
        <f>IF($H190&gt;0,'Calculation Constants'!$B$9*Hydraulics!$K190^2/2/9.81/MAX($F$4:$F$253)*$H190,"")</f>
        <v>7.8734226558858159E-2</v>
      </c>
      <c r="AB190" s="19">
        <f t="shared" si="81"/>
        <v>1.5106974633930752</v>
      </c>
      <c r="AC190" s="19">
        <f t="shared" si="63"/>
        <v>0</v>
      </c>
      <c r="AD190" s="19">
        <f t="shared" si="74"/>
        <v>124.87321455153869</v>
      </c>
      <c r="AE190" s="23">
        <f t="shared" si="64"/>
        <v>1155.8232145515387</v>
      </c>
      <c r="AF190" s="27">
        <f>(1/(2*LOG(3.7*$I190/'Calculation Constants'!$B$4*1000)))^2</f>
        <v>1.1575055557914658E-2</v>
      </c>
      <c r="AG190" s="19">
        <f t="shared" si="65"/>
        <v>1.6876908272744866</v>
      </c>
      <c r="AH190" s="19">
        <f>IF($H190&gt;0,'Calculation Constants'!$B$9*Hydraulics!$K190^2/2/9.81/MAX($F$4:$F$253)*$H190,"")</f>
        <v>7.8734226558858159E-2</v>
      </c>
      <c r="AI190" s="19">
        <f t="shared" si="75"/>
        <v>1.7664250538333448</v>
      </c>
      <c r="AJ190" s="19">
        <f t="shared" si="66"/>
        <v>0</v>
      </c>
      <c r="AK190" s="19">
        <f t="shared" si="76"/>
        <v>104.50570096973138</v>
      </c>
      <c r="AL190" s="23">
        <f t="shared" si="67"/>
        <v>1135.4557009697314</v>
      </c>
      <c r="AM190" s="22">
        <f>(1/(2*LOG(3.7*($I190-0.008)/'Calculation Constants'!$B$5*1000)))^2</f>
        <v>1.4709705891825043E-2</v>
      </c>
      <c r="AN190" s="19">
        <f t="shared" si="77"/>
        <v>2.1543104841910781</v>
      </c>
      <c r="AO190" s="19">
        <f>IF($H190&gt;0,'Calculation Constants'!$B$9*Hydraulics!$K190^2/2/9.81/MAX($F$4:$F$253)*$H190,"")</f>
        <v>7.8734226558858159E-2</v>
      </c>
      <c r="AP190" s="19">
        <f t="shared" si="78"/>
        <v>2.2330447107499363</v>
      </c>
      <c r="AQ190" s="19">
        <f t="shared" si="68"/>
        <v>0</v>
      </c>
      <c r="AR190" s="19">
        <f t="shared" si="79"/>
        <v>67.603919342196377</v>
      </c>
      <c r="AS190" s="23">
        <f t="shared" si="69"/>
        <v>1098.5539193421964</v>
      </c>
    </row>
    <row r="191" spans="5:45">
      <c r="E191" s="35" t="str">
        <f t="shared" si="55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0"/>
        <v>2</v>
      </c>
      <c r="I191" s="19">
        <v>1.8</v>
      </c>
      <c r="J191" s="36">
        <f>'Flow Rate Calculations'!$B$7</f>
        <v>4.0831050228310497</v>
      </c>
      <c r="K191" s="36">
        <f t="shared" si="70"/>
        <v>1.6045588828318709</v>
      </c>
      <c r="L191" s="37">
        <f>$I191*$K191/'Calculation Constants'!$B$7</f>
        <v>2555934.503625989</v>
      </c>
      <c r="M191" s="37" t="str">
        <f t="shared" si="56"/>
        <v>Greater Dynamic Pressures</v>
      </c>
      <c r="N191" s="23">
        <f t="shared" si="71"/>
        <v>134.72017688253277</v>
      </c>
      <c r="O191" s="56">
        <f t="shared" si="57"/>
        <v>122.04951708814565</v>
      </c>
      <c r="P191" s="65">
        <f>MAX(I191*1000/'Calculation Constants'!$B$14,O191*10*I191*1000/2/('Calculation Constants'!$B$12*1000*'Calculation Constants'!$B$13))</f>
        <v>11.25</v>
      </c>
      <c r="Q191" s="67">
        <f t="shared" si="58"/>
        <v>992548.40161508287</v>
      </c>
      <c r="R191" s="27">
        <f>(1/(2*LOG(3.7*$I191/'Calculation Constants'!$B$2*1000)))^2</f>
        <v>8.7463077071963571E-3</v>
      </c>
      <c r="S191" s="19">
        <f t="shared" si="72"/>
        <v>1.2752477269849725</v>
      </c>
      <c r="T191" s="19">
        <f>IF($H191&gt;0,'Calculation Constants'!$B$9*Hydraulics!$K191^2/2/9.81/MAX($F$4:$F$253)*$H191,"")</f>
        <v>7.8734226558858159E-2</v>
      </c>
      <c r="U191" s="19">
        <f t="shared" si="73"/>
        <v>1.3539819535438307</v>
      </c>
      <c r="V191" s="19">
        <f t="shared" si="59"/>
        <v>0</v>
      </c>
      <c r="W191" s="19">
        <f t="shared" si="60"/>
        <v>134.72017688253277</v>
      </c>
      <c r="X191" s="23">
        <f t="shared" si="61"/>
        <v>1166.9831768825327</v>
      </c>
      <c r="Y191" s="22">
        <f>(1/(2*LOG(3.7*$I191/'Calculation Constants'!$B$3*1000)))^2</f>
        <v>9.8211436332891755E-3</v>
      </c>
      <c r="Z191" s="19">
        <f t="shared" si="62"/>
        <v>1.431963236834217</v>
      </c>
      <c r="AA191" s="19">
        <f>IF($H191&gt;0,'Calculation Constants'!$B$9*Hydraulics!$K191^2/2/9.81/MAX($F$4:$F$253)*$H191,"")</f>
        <v>7.8734226558858159E-2</v>
      </c>
      <c r="AB191" s="19">
        <f t="shared" si="81"/>
        <v>1.5106974633930752</v>
      </c>
      <c r="AC191" s="19">
        <f t="shared" si="63"/>
        <v>0</v>
      </c>
      <c r="AD191" s="19">
        <f t="shared" si="74"/>
        <v>122.04951708814565</v>
      </c>
      <c r="AE191" s="23">
        <f t="shared" si="64"/>
        <v>1154.3125170881456</v>
      </c>
      <c r="AF191" s="27">
        <f>(1/(2*LOG(3.7*$I191/'Calculation Constants'!$B$4*1000)))^2</f>
        <v>1.1575055557914658E-2</v>
      </c>
      <c r="AG191" s="19">
        <f t="shared" si="65"/>
        <v>1.6876908272744866</v>
      </c>
      <c r="AH191" s="19">
        <f>IF($H191&gt;0,'Calculation Constants'!$B$9*Hydraulics!$K191^2/2/9.81/MAX($F$4:$F$253)*$H191,"")</f>
        <v>7.8734226558858159E-2</v>
      </c>
      <c r="AI191" s="19">
        <f t="shared" si="75"/>
        <v>1.7664250538333448</v>
      </c>
      <c r="AJ191" s="19">
        <f t="shared" si="66"/>
        <v>0</v>
      </c>
      <c r="AK191" s="19">
        <f t="shared" si="76"/>
        <v>101.42627591589826</v>
      </c>
      <c r="AL191" s="23">
        <f t="shared" si="67"/>
        <v>1133.6892759158982</v>
      </c>
      <c r="AM191" s="22">
        <f>(1/(2*LOG(3.7*($I191-0.008)/'Calculation Constants'!$B$5*1000)))^2</f>
        <v>1.4709705891825043E-2</v>
      </c>
      <c r="AN191" s="19">
        <f t="shared" si="77"/>
        <v>2.1543104841910781</v>
      </c>
      <c r="AO191" s="19">
        <f>IF($H191&gt;0,'Calculation Constants'!$B$9*Hydraulics!$K191^2/2/9.81/MAX($F$4:$F$253)*$H191,"")</f>
        <v>7.8734226558858159E-2</v>
      </c>
      <c r="AP191" s="19">
        <f t="shared" si="78"/>
        <v>2.2330447107499363</v>
      </c>
      <c r="AQ191" s="19">
        <f t="shared" si="68"/>
        <v>0</v>
      </c>
      <c r="AR191" s="19">
        <f t="shared" si="79"/>
        <v>64.057874631446566</v>
      </c>
      <c r="AS191" s="23">
        <f t="shared" si="69"/>
        <v>1096.3208746314465</v>
      </c>
    </row>
    <row r="192" spans="5:45">
      <c r="E192" s="35" t="str">
        <f t="shared" si="55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0"/>
        <v>2</v>
      </c>
      <c r="I192" s="19">
        <v>1.8</v>
      </c>
      <c r="J192" s="36">
        <f>'Flow Rate Calculations'!$B$7</f>
        <v>4.0831050228310497</v>
      </c>
      <c r="K192" s="36">
        <f t="shared" si="70"/>
        <v>1.6045588828318709</v>
      </c>
      <c r="L192" s="37">
        <f>$I192*$K192/'Calculation Constants'!$B$7</f>
        <v>2555934.503625989</v>
      </c>
      <c r="M192" s="37" t="str">
        <f t="shared" si="56"/>
        <v>Greater Dynamic Pressures</v>
      </c>
      <c r="N192" s="23">
        <f t="shared" si="71"/>
        <v>134.23819492898883</v>
      </c>
      <c r="O192" s="56">
        <f t="shared" si="57"/>
        <v>121.41081962475232</v>
      </c>
      <c r="P192" s="65">
        <f>MAX(I192*1000/'Calculation Constants'!$B$14,O192*10*I192*1000/2/('Calculation Constants'!$B$12*1000*'Calculation Constants'!$B$13))</f>
        <v>11.25</v>
      </c>
      <c r="Q192" s="67">
        <f t="shared" si="58"/>
        <v>992548.40161508287</v>
      </c>
      <c r="R192" s="27">
        <f>(1/(2*LOG(3.7*$I192/'Calculation Constants'!$B$2*1000)))^2</f>
        <v>8.7463077071963571E-3</v>
      </c>
      <c r="S192" s="19">
        <f t="shared" si="72"/>
        <v>1.2752477269849725</v>
      </c>
      <c r="T192" s="19">
        <f>IF($H192&gt;0,'Calculation Constants'!$B$9*Hydraulics!$K192^2/2/9.81/MAX($F$4:$F$253)*$H192,"")</f>
        <v>7.8734226558858159E-2</v>
      </c>
      <c r="U192" s="19">
        <f t="shared" si="73"/>
        <v>1.3539819535438307</v>
      </c>
      <c r="V192" s="19">
        <f t="shared" si="59"/>
        <v>0</v>
      </c>
      <c r="W192" s="19">
        <f t="shared" si="60"/>
        <v>134.23819492898883</v>
      </c>
      <c r="X192" s="23">
        <f t="shared" si="61"/>
        <v>1165.6291949289889</v>
      </c>
      <c r="Y192" s="22">
        <f>(1/(2*LOG(3.7*$I192/'Calculation Constants'!$B$3*1000)))^2</f>
        <v>9.8211436332891755E-3</v>
      </c>
      <c r="Z192" s="19">
        <f t="shared" si="62"/>
        <v>1.431963236834217</v>
      </c>
      <c r="AA192" s="19">
        <f>IF($H192&gt;0,'Calculation Constants'!$B$9*Hydraulics!$K192^2/2/9.81/MAX($F$4:$F$253)*$H192,"")</f>
        <v>7.8734226558858159E-2</v>
      </c>
      <c r="AB192" s="19">
        <f t="shared" si="81"/>
        <v>1.5106974633930752</v>
      </c>
      <c r="AC192" s="19">
        <f t="shared" si="63"/>
        <v>0</v>
      </c>
      <c r="AD192" s="19">
        <f t="shared" si="74"/>
        <v>121.41081962475232</v>
      </c>
      <c r="AE192" s="23">
        <f t="shared" si="64"/>
        <v>1152.8018196247524</v>
      </c>
      <c r="AF192" s="27">
        <f>(1/(2*LOG(3.7*$I192/'Calculation Constants'!$B$4*1000)))^2</f>
        <v>1.1575055557914658E-2</v>
      </c>
      <c r="AG192" s="19">
        <f t="shared" si="65"/>
        <v>1.6876908272744866</v>
      </c>
      <c r="AH192" s="19">
        <f>IF($H192&gt;0,'Calculation Constants'!$B$9*Hydraulics!$K192^2/2/9.81/MAX($F$4:$F$253)*$H192,"")</f>
        <v>7.8734226558858159E-2</v>
      </c>
      <c r="AI192" s="19">
        <f t="shared" si="75"/>
        <v>1.7664250538333448</v>
      </c>
      <c r="AJ192" s="19">
        <f t="shared" si="66"/>
        <v>0</v>
      </c>
      <c r="AK192" s="19">
        <f t="shared" si="76"/>
        <v>100.53185086206486</v>
      </c>
      <c r="AL192" s="23">
        <f t="shared" si="67"/>
        <v>1131.9228508620649</v>
      </c>
      <c r="AM192" s="22">
        <f>(1/(2*LOG(3.7*($I192-0.008)/'Calculation Constants'!$B$5*1000)))^2</f>
        <v>1.4709705891825043E-2</v>
      </c>
      <c r="AN192" s="19">
        <f t="shared" si="77"/>
        <v>2.1543104841910781</v>
      </c>
      <c r="AO192" s="19">
        <f>IF($H192&gt;0,'Calculation Constants'!$B$9*Hydraulics!$K192^2/2/9.81/MAX($F$4:$F$253)*$H192,"")</f>
        <v>7.8734226558858159E-2</v>
      </c>
      <c r="AP192" s="19">
        <f t="shared" si="78"/>
        <v>2.2330447107499363</v>
      </c>
      <c r="AQ192" s="19">
        <f t="shared" si="68"/>
        <v>0</v>
      </c>
      <c r="AR192" s="19">
        <f t="shared" si="79"/>
        <v>62.696829920696473</v>
      </c>
      <c r="AS192" s="23">
        <f t="shared" si="69"/>
        <v>1094.0878299206965</v>
      </c>
    </row>
    <row r="193" spans="5:45">
      <c r="E193" s="35" t="str">
        <f t="shared" si="55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0"/>
        <v>2</v>
      </c>
      <c r="I193" s="19">
        <v>1.8</v>
      </c>
      <c r="J193" s="36">
        <f>'Flow Rate Calculations'!$B$7</f>
        <v>4.0831050228310497</v>
      </c>
      <c r="K193" s="36">
        <f t="shared" si="70"/>
        <v>1.6045588828318709</v>
      </c>
      <c r="L193" s="37">
        <f>$I193*$K193/'Calculation Constants'!$B$7</f>
        <v>2555934.503625989</v>
      </c>
      <c r="M193" s="37" t="str">
        <f t="shared" si="56"/>
        <v>Greater Dynamic Pressures</v>
      </c>
      <c r="N193" s="23">
        <f t="shared" si="71"/>
        <v>138.48421297544519</v>
      </c>
      <c r="O193" s="56">
        <f t="shared" si="57"/>
        <v>125.50012216135929</v>
      </c>
      <c r="P193" s="65">
        <f>MAX(I193*1000/'Calculation Constants'!$B$14,O193*10*I193*1000/2/('Calculation Constants'!$B$12*1000*'Calculation Constants'!$B$13))</f>
        <v>11.25</v>
      </c>
      <c r="Q193" s="67">
        <f t="shared" si="58"/>
        <v>992548.40161508287</v>
      </c>
      <c r="R193" s="27">
        <f>(1/(2*LOG(3.7*$I193/'Calculation Constants'!$B$2*1000)))^2</f>
        <v>8.7463077071963571E-3</v>
      </c>
      <c r="S193" s="19">
        <f t="shared" si="72"/>
        <v>1.2752477269849725</v>
      </c>
      <c r="T193" s="19">
        <f>IF($H193&gt;0,'Calculation Constants'!$B$9*Hydraulics!$K193^2/2/9.81/MAX($F$4:$F$253)*$H193,"")</f>
        <v>7.8734226558858159E-2</v>
      </c>
      <c r="U193" s="19">
        <f t="shared" si="73"/>
        <v>1.3539819535438307</v>
      </c>
      <c r="V193" s="19">
        <f t="shared" si="59"/>
        <v>0</v>
      </c>
      <c r="W193" s="19">
        <f t="shared" si="60"/>
        <v>138.48421297544519</v>
      </c>
      <c r="X193" s="23">
        <f t="shared" si="61"/>
        <v>1164.2752129754451</v>
      </c>
      <c r="Y193" s="22">
        <f>(1/(2*LOG(3.7*$I193/'Calculation Constants'!$B$3*1000)))^2</f>
        <v>9.8211436332891755E-3</v>
      </c>
      <c r="Z193" s="19">
        <f t="shared" si="62"/>
        <v>1.431963236834217</v>
      </c>
      <c r="AA193" s="19">
        <f>IF($H193&gt;0,'Calculation Constants'!$B$9*Hydraulics!$K193^2/2/9.81/MAX($F$4:$F$253)*$H193,"")</f>
        <v>7.8734226558858159E-2</v>
      </c>
      <c r="AB193" s="19">
        <f t="shared" si="81"/>
        <v>1.5106974633930752</v>
      </c>
      <c r="AC193" s="19">
        <f t="shared" si="63"/>
        <v>0</v>
      </c>
      <c r="AD193" s="19">
        <f t="shared" si="74"/>
        <v>125.50012216135929</v>
      </c>
      <c r="AE193" s="23">
        <f t="shared" si="64"/>
        <v>1151.2911221613592</v>
      </c>
      <c r="AF193" s="27">
        <f>(1/(2*LOG(3.7*$I193/'Calculation Constants'!$B$4*1000)))^2</f>
        <v>1.1575055557914658E-2</v>
      </c>
      <c r="AG193" s="19">
        <f t="shared" si="65"/>
        <v>1.6876908272744866</v>
      </c>
      <c r="AH193" s="19">
        <f>IF($H193&gt;0,'Calculation Constants'!$B$9*Hydraulics!$K193^2/2/9.81/MAX($F$4:$F$253)*$H193,"")</f>
        <v>7.8734226558858159E-2</v>
      </c>
      <c r="AI193" s="19">
        <f t="shared" si="75"/>
        <v>1.7664250538333448</v>
      </c>
      <c r="AJ193" s="19">
        <f t="shared" si="66"/>
        <v>0</v>
      </c>
      <c r="AK193" s="19">
        <f t="shared" si="76"/>
        <v>104.36542580823175</v>
      </c>
      <c r="AL193" s="23">
        <f t="shared" si="67"/>
        <v>1130.1564258082317</v>
      </c>
      <c r="AM193" s="22">
        <f>(1/(2*LOG(3.7*($I193-0.008)/'Calculation Constants'!$B$5*1000)))^2</f>
        <v>1.4709705891825043E-2</v>
      </c>
      <c r="AN193" s="19">
        <f t="shared" si="77"/>
        <v>2.1543104841910781</v>
      </c>
      <c r="AO193" s="19">
        <f>IF($H193&gt;0,'Calculation Constants'!$B$9*Hydraulics!$K193^2/2/9.81/MAX($F$4:$F$253)*$H193,"")</f>
        <v>7.8734226558858159E-2</v>
      </c>
      <c r="AP193" s="19">
        <f t="shared" si="78"/>
        <v>2.2330447107499363</v>
      </c>
      <c r="AQ193" s="19">
        <f t="shared" si="68"/>
        <v>0</v>
      </c>
      <c r="AR193" s="19">
        <f t="shared" si="79"/>
        <v>66.063785209946673</v>
      </c>
      <c r="AS193" s="23">
        <f t="shared" si="69"/>
        <v>1091.8547852099466</v>
      </c>
    </row>
    <row r="194" spans="5:45">
      <c r="E194" s="35" t="str">
        <f t="shared" si="55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0"/>
        <v>2</v>
      </c>
      <c r="I194" s="19">
        <v>1.8</v>
      </c>
      <c r="J194" s="36">
        <f>'Flow Rate Calculations'!$B$7</f>
        <v>4.0831050228310497</v>
      </c>
      <c r="K194" s="36">
        <f t="shared" si="70"/>
        <v>1.6045588828318709</v>
      </c>
      <c r="L194" s="37">
        <f>$I194*$K194/'Calculation Constants'!$B$7</f>
        <v>2555934.503625989</v>
      </c>
      <c r="M194" s="37" t="str">
        <f t="shared" si="56"/>
        <v>Greater Dynamic Pressures</v>
      </c>
      <c r="N194" s="23">
        <f t="shared" si="71"/>
        <v>142.0102310219014</v>
      </c>
      <c r="O194" s="56">
        <f t="shared" si="57"/>
        <v>128.86942469796611</v>
      </c>
      <c r="P194" s="65">
        <f>MAX(I194*1000/'Calculation Constants'!$B$14,O194*10*I194*1000/2/('Calculation Constants'!$B$12*1000*'Calculation Constants'!$B$13))</f>
        <v>11.25</v>
      </c>
      <c r="Q194" s="67">
        <f t="shared" si="58"/>
        <v>992548.40161508287</v>
      </c>
      <c r="R194" s="27">
        <f>(1/(2*LOG(3.7*$I194/'Calculation Constants'!$B$2*1000)))^2</f>
        <v>8.7463077071963571E-3</v>
      </c>
      <c r="S194" s="19">
        <f t="shared" si="72"/>
        <v>1.2752477269849725</v>
      </c>
      <c r="T194" s="19">
        <f>IF($H194&gt;0,'Calculation Constants'!$B$9*Hydraulics!$K194^2/2/9.81/MAX($F$4:$F$253)*$H194,"")</f>
        <v>7.8734226558858159E-2</v>
      </c>
      <c r="U194" s="19">
        <f t="shared" si="73"/>
        <v>1.3539819535438307</v>
      </c>
      <c r="V194" s="19">
        <f t="shared" si="59"/>
        <v>0</v>
      </c>
      <c r="W194" s="19">
        <f t="shared" si="60"/>
        <v>142.0102310219014</v>
      </c>
      <c r="X194" s="23">
        <f t="shared" si="61"/>
        <v>1162.9212310219013</v>
      </c>
      <c r="Y194" s="22">
        <f>(1/(2*LOG(3.7*$I194/'Calculation Constants'!$B$3*1000)))^2</f>
        <v>9.8211436332891755E-3</v>
      </c>
      <c r="Z194" s="19">
        <f t="shared" si="62"/>
        <v>1.431963236834217</v>
      </c>
      <c r="AA194" s="19">
        <f>IF($H194&gt;0,'Calculation Constants'!$B$9*Hydraulics!$K194^2/2/9.81/MAX($F$4:$F$253)*$H194,"")</f>
        <v>7.8734226558858159E-2</v>
      </c>
      <c r="AB194" s="19">
        <f t="shared" si="81"/>
        <v>1.5106974633930752</v>
      </c>
      <c r="AC194" s="19">
        <f t="shared" si="63"/>
        <v>0</v>
      </c>
      <c r="AD194" s="19">
        <f t="shared" si="74"/>
        <v>128.86942469796611</v>
      </c>
      <c r="AE194" s="23">
        <f t="shared" si="64"/>
        <v>1149.7804246979661</v>
      </c>
      <c r="AF194" s="27">
        <f>(1/(2*LOG(3.7*$I194/'Calculation Constants'!$B$4*1000)))^2</f>
        <v>1.1575055557914658E-2</v>
      </c>
      <c r="AG194" s="19">
        <f t="shared" si="65"/>
        <v>1.6876908272744866</v>
      </c>
      <c r="AH194" s="19">
        <f>IF($H194&gt;0,'Calculation Constants'!$B$9*Hydraulics!$K194^2/2/9.81/MAX($F$4:$F$253)*$H194,"")</f>
        <v>7.8734226558858159E-2</v>
      </c>
      <c r="AI194" s="19">
        <f t="shared" si="75"/>
        <v>1.7664250538333448</v>
      </c>
      <c r="AJ194" s="19">
        <f t="shared" si="66"/>
        <v>0</v>
      </c>
      <c r="AK194" s="19">
        <f t="shared" si="76"/>
        <v>107.4790007543985</v>
      </c>
      <c r="AL194" s="23">
        <f t="shared" si="67"/>
        <v>1128.3900007543984</v>
      </c>
      <c r="AM194" s="22">
        <f>(1/(2*LOG(3.7*($I194-0.008)/'Calculation Constants'!$B$5*1000)))^2</f>
        <v>1.4709705891825043E-2</v>
      </c>
      <c r="AN194" s="19">
        <f t="shared" si="77"/>
        <v>2.1543104841910781</v>
      </c>
      <c r="AO194" s="19">
        <f>IF($H194&gt;0,'Calculation Constants'!$B$9*Hydraulics!$K194^2/2/9.81/MAX($F$4:$F$253)*$H194,"")</f>
        <v>7.8734226558858159E-2</v>
      </c>
      <c r="AP194" s="19">
        <f t="shared" si="78"/>
        <v>2.2330447107499363</v>
      </c>
      <c r="AQ194" s="19">
        <f t="shared" si="68"/>
        <v>0</v>
      </c>
      <c r="AR194" s="19">
        <f t="shared" si="79"/>
        <v>68.710740499196731</v>
      </c>
      <c r="AS194" s="23">
        <f t="shared" si="69"/>
        <v>1089.6217404991967</v>
      </c>
    </row>
    <row r="195" spans="5:45">
      <c r="E195" s="35" t="str">
        <f t="shared" si="55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0"/>
        <v>2</v>
      </c>
      <c r="I195" s="19">
        <v>1.8</v>
      </c>
      <c r="J195" s="36">
        <f>'Flow Rate Calculations'!$B$7</f>
        <v>4.0831050228310497</v>
      </c>
      <c r="K195" s="36">
        <f t="shared" si="70"/>
        <v>1.6045588828318709</v>
      </c>
      <c r="L195" s="37">
        <f>$I195*$K195/'Calculation Constants'!$B$7</f>
        <v>2555934.503625989</v>
      </c>
      <c r="M195" s="37" t="str">
        <f t="shared" si="56"/>
        <v>Greater Dynamic Pressures</v>
      </c>
      <c r="N195" s="23">
        <f t="shared" si="71"/>
        <v>145.91724906835759</v>
      </c>
      <c r="O195" s="56">
        <f t="shared" si="57"/>
        <v>132.61972723457291</v>
      </c>
      <c r="P195" s="65">
        <f>MAX(I195*1000/'Calculation Constants'!$B$14,O195*10*I195*1000/2/('Calculation Constants'!$B$12*1000*'Calculation Constants'!$B$13))</f>
        <v>11.25</v>
      </c>
      <c r="Q195" s="67">
        <f t="shared" si="58"/>
        <v>992548.40161508287</v>
      </c>
      <c r="R195" s="27">
        <f>(1/(2*LOG(3.7*$I195/'Calculation Constants'!$B$2*1000)))^2</f>
        <v>8.7463077071963571E-3</v>
      </c>
      <c r="S195" s="19">
        <f t="shared" si="72"/>
        <v>1.2752477269849725</v>
      </c>
      <c r="T195" s="19">
        <f>IF($H195&gt;0,'Calculation Constants'!$B$9*Hydraulics!$K195^2/2/9.81/MAX($F$4:$F$253)*$H195,"")</f>
        <v>7.8734226558858159E-2</v>
      </c>
      <c r="U195" s="19">
        <f t="shared" si="73"/>
        <v>1.3539819535438307</v>
      </c>
      <c r="V195" s="19">
        <f t="shared" si="59"/>
        <v>0</v>
      </c>
      <c r="W195" s="19">
        <f t="shared" si="60"/>
        <v>145.91724906835759</v>
      </c>
      <c r="X195" s="23">
        <f t="shared" si="61"/>
        <v>1161.5672490683576</v>
      </c>
      <c r="Y195" s="22">
        <f>(1/(2*LOG(3.7*$I195/'Calculation Constants'!$B$3*1000)))^2</f>
        <v>9.8211436332891755E-3</v>
      </c>
      <c r="Z195" s="19">
        <f t="shared" si="62"/>
        <v>1.431963236834217</v>
      </c>
      <c r="AA195" s="19">
        <f>IF($H195&gt;0,'Calculation Constants'!$B$9*Hydraulics!$K195^2/2/9.81/MAX($F$4:$F$253)*$H195,"")</f>
        <v>7.8734226558858159E-2</v>
      </c>
      <c r="AB195" s="19">
        <f t="shared" si="81"/>
        <v>1.5106974633930752</v>
      </c>
      <c r="AC195" s="19">
        <f t="shared" si="63"/>
        <v>0</v>
      </c>
      <c r="AD195" s="19">
        <f t="shared" si="74"/>
        <v>132.61972723457291</v>
      </c>
      <c r="AE195" s="23">
        <f t="shared" si="64"/>
        <v>1148.2697272345729</v>
      </c>
      <c r="AF195" s="27">
        <f>(1/(2*LOG(3.7*$I195/'Calculation Constants'!$B$4*1000)))^2</f>
        <v>1.1575055557914658E-2</v>
      </c>
      <c r="AG195" s="19">
        <f t="shared" si="65"/>
        <v>1.6876908272744866</v>
      </c>
      <c r="AH195" s="19">
        <f>IF($H195&gt;0,'Calculation Constants'!$B$9*Hydraulics!$K195^2/2/9.81/MAX($F$4:$F$253)*$H195,"")</f>
        <v>7.8734226558858159E-2</v>
      </c>
      <c r="AI195" s="19">
        <f t="shared" si="75"/>
        <v>1.7664250538333448</v>
      </c>
      <c r="AJ195" s="19">
        <f t="shared" si="66"/>
        <v>0</v>
      </c>
      <c r="AK195" s="19">
        <f t="shared" si="76"/>
        <v>110.97357570056522</v>
      </c>
      <c r="AL195" s="23">
        <f t="shared" si="67"/>
        <v>1126.6235757005652</v>
      </c>
      <c r="AM195" s="22">
        <f>(1/(2*LOG(3.7*($I195-0.008)/'Calculation Constants'!$B$5*1000)))^2</f>
        <v>1.4709705891825043E-2</v>
      </c>
      <c r="AN195" s="19">
        <f t="shared" si="77"/>
        <v>2.1543104841910781</v>
      </c>
      <c r="AO195" s="19">
        <f>IF($H195&gt;0,'Calculation Constants'!$B$9*Hydraulics!$K195^2/2/9.81/MAX($F$4:$F$253)*$H195,"")</f>
        <v>7.8734226558858159E-2</v>
      </c>
      <c r="AP195" s="19">
        <f t="shared" si="78"/>
        <v>2.2330447107499363</v>
      </c>
      <c r="AQ195" s="19">
        <f t="shared" si="68"/>
        <v>0</v>
      </c>
      <c r="AR195" s="19">
        <f t="shared" si="79"/>
        <v>71.738695788446762</v>
      </c>
      <c r="AS195" s="23">
        <f t="shared" si="69"/>
        <v>1087.3886957884467</v>
      </c>
    </row>
    <row r="196" spans="5:45">
      <c r="E196" s="35" t="str">
        <f t="shared" ref="E196:E253" si="82">IF(OR(F196=$B$4,F196=$B$5,F196=$B$6),"Pump Station",IF(OR(F196=$B$11,F196=$B$12,F196=$B$13,F196=$B$14,F196=$B$15),"Reservoir",""))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0"/>
        <v>2</v>
      </c>
      <c r="I196" s="19">
        <v>1.8</v>
      </c>
      <c r="J196" s="36">
        <f>'Flow Rate Calculations'!$B$7</f>
        <v>4.0831050228310497</v>
      </c>
      <c r="K196" s="36">
        <f t="shared" si="70"/>
        <v>1.6045588828318709</v>
      </c>
      <c r="L196" s="37">
        <f>$I196*$K196/'Calculation Constants'!$B$7</f>
        <v>2555934.503625989</v>
      </c>
      <c r="M196" s="37" t="str">
        <f t="shared" ref="M196:M253" si="83">IF(X196&gt;VLOOKUP(F196,$B$11:$D$15,2),"Greater Dynamic Pressures",VLOOKUP(F196,$B$11:$C$15,2)-G196)</f>
        <v>Greater Dynamic Pressures</v>
      </c>
      <c r="N196" s="23">
        <f t="shared" si="71"/>
        <v>148.07426711481378</v>
      </c>
      <c r="O196" s="56">
        <f t="shared" ref="O196:O253" si="84">MAX(M196,AD196)</f>
        <v>134.6200297711797</v>
      </c>
      <c r="P196" s="65">
        <f>MAX(I196*1000/'Calculation Constants'!$B$14,O196*10*I196*1000/2/('Calculation Constants'!$B$12*1000*'Calculation Constants'!$B$13))</f>
        <v>11.25</v>
      </c>
      <c r="Q196" s="67">
        <f t="shared" ref="Q196:Q253" si="85">(I196^2*PI()/4-(I196-P196/1000*2)^2*PI()/4)*H196*1000*7850</f>
        <v>992548.40161508287</v>
      </c>
      <c r="R196" s="27">
        <f>(1/(2*LOG(3.7*$I196/'Calculation Constants'!$B$2*1000)))^2</f>
        <v>8.7463077071963571E-3</v>
      </c>
      <c r="S196" s="19">
        <f t="shared" si="72"/>
        <v>1.2752477269849725</v>
      </c>
      <c r="T196" s="19">
        <f>IF($H196&gt;0,'Calculation Constants'!$B$9*Hydraulics!$K196^2/2/9.81/MAX($F$4:$F$253)*$H196,"")</f>
        <v>7.8734226558858159E-2</v>
      </c>
      <c r="U196" s="19">
        <f t="shared" si="73"/>
        <v>1.3539819535438307</v>
      </c>
      <c r="V196" s="19">
        <f t="shared" ref="V196:V253" si="86">IF($F196=$B$4,$D$4,(IF($F196=$B$5,$D$5,IF($F196=$B$6,$D$6,0))))</f>
        <v>0</v>
      </c>
      <c r="W196" s="19">
        <f t="shared" ref="W196:W253" si="87">IF(E196="Reservoir",VLOOKUP(F196,$B$11:$D$15,2)-G196,X196-$G196)</f>
        <v>148.07426711481378</v>
      </c>
      <c r="X196" s="23">
        <f t="shared" ref="X196:X253" si="88">IF($E196="Reservoir",VLOOKUP($F196,$B$11:$D$15,2)+V196,X195-U196+V196)</f>
        <v>1160.2132671148138</v>
      </c>
      <c r="Y196" s="22">
        <f>(1/(2*LOG(3.7*$I196/'Calculation Constants'!$B$3*1000)))^2</f>
        <v>9.8211436332891755E-3</v>
      </c>
      <c r="Z196" s="19">
        <f t="shared" ref="Z196:Z253" si="89">IF($H196&gt;0,Y196*$H196*$K196^2/2/9.81/$I196*1000,"")</f>
        <v>1.431963236834217</v>
      </c>
      <c r="AA196" s="19">
        <f>IF($H196&gt;0,'Calculation Constants'!$B$9*Hydraulics!$K196^2/2/9.81/MAX($F$4:$F$253)*$H196,"")</f>
        <v>7.8734226558858159E-2</v>
      </c>
      <c r="AB196" s="19">
        <f t="shared" si="81"/>
        <v>1.5106974633930752</v>
      </c>
      <c r="AC196" s="19">
        <f t="shared" ref="AC196:AC253" si="90">IF($F196=$B$4,$D$4,(IF($F196=$B$5,$D$5,IF($F196=$B$6,$D$6,0))))</f>
        <v>0</v>
      </c>
      <c r="AD196" s="19">
        <f t="shared" si="74"/>
        <v>134.6200297711797</v>
      </c>
      <c r="AE196" s="23">
        <f t="shared" ref="AE196:AE253" si="91">IF($E196="Reservoir",VLOOKUP($F196,$B$11:$D$15,2)+AC196,AE195-AB196+AC196)</f>
        <v>1146.7590297711797</v>
      </c>
      <c r="AF196" s="27">
        <f>(1/(2*LOG(3.7*$I196/'Calculation Constants'!$B$4*1000)))^2</f>
        <v>1.1575055557914658E-2</v>
      </c>
      <c r="AG196" s="19">
        <f t="shared" ref="AG196:AG253" si="92">IF($H196&gt;0,AF196*$H196*$K196^2/2/9.81/$I196*1000,"")</f>
        <v>1.6876908272744866</v>
      </c>
      <c r="AH196" s="19">
        <f>IF($H196&gt;0,'Calculation Constants'!$B$9*Hydraulics!$K196^2/2/9.81/MAX($F$4:$F$253)*$H196,"")</f>
        <v>7.8734226558858159E-2</v>
      </c>
      <c r="AI196" s="19">
        <f t="shared" si="75"/>
        <v>1.7664250538333448</v>
      </c>
      <c r="AJ196" s="19">
        <f t="shared" ref="AJ196:AJ253" si="93">IF($F196=$B$4,$D$4,(IF($F196=$B$5,$D$5,IF($F196=$B$6,$D$6,0))))</f>
        <v>0</v>
      </c>
      <c r="AK196" s="19">
        <f t="shared" si="76"/>
        <v>112.71815064673194</v>
      </c>
      <c r="AL196" s="23">
        <f t="shared" ref="AL196:AL253" si="94">IF($E196="Reservoir",VLOOKUP($F196,$B$11:$D$15,2)+AJ196,AL195-AI196+AJ196)</f>
        <v>1124.857150646732</v>
      </c>
      <c r="AM196" s="22">
        <f>(1/(2*LOG(3.7*($I196-0.008)/'Calculation Constants'!$B$5*1000)))^2</f>
        <v>1.4709705891825043E-2</v>
      </c>
      <c r="AN196" s="19">
        <f t="shared" si="77"/>
        <v>2.1543104841910781</v>
      </c>
      <c r="AO196" s="19">
        <f>IF($H196&gt;0,'Calculation Constants'!$B$9*Hydraulics!$K196^2/2/9.81/MAX($F$4:$F$253)*$H196,"")</f>
        <v>7.8734226558858159E-2</v>
      </c>
      <c r="AP196" s="19">
        <f t="shared" si="78"/>
        <v>2.2330447107499363</v>
      </c>
      <c r="AQ196" s="19">
        <f t="shared" ref="AQ196:AQ253" si="95">IF($F196=$B$4,$D$4,(IF($F196=$B$5,$D$5,IF($F196=$B$6,$D$6,0))))</f>
        <v>0</v>
      </c>
      <c r="AR196" s="19">
        <f t="shared" si="79"/>
        <v>73.016651077696793</v>
      </c>
      <c r="AS196" s="23">
        <f t="shared" ref="AS196:AS253" si="96">IF($E196="Reservoir",VLOOKUP($F196,$B$11:$D$15,2)+AQ196,AS195-AP196+AQ196)</f>
        <v>1085.1556510776968</v>
      </c>
    </row>
    <row r="197" spans="5:45">
      <c r="E197" s="35" t="str">
        <f t="shared" si="82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0"/>
        <v>2</v>
      </c>
      <c r="I197" s="19">
        <v>1.8</v>
      </c>
      <c r="J197" s="36">
        <f>'Flow Rate Calculations'!$B$7</f>
        <v>4.0831050228310497</v>
      </c>
      <c r="K197" s="36">
        <f t="shared" ref="K197:K253" si="97">J197/I197^2/PI()*4</f>
        <v>1.6045588828318709</v>
      </c>
      <c r="L197" s="37">
        <f>$I197*$K197/'Calculation Constants'!$B$7</f>
        <v>2555934.503625989</v>
      </c>
      <c r="M197" s="37" t="str">
        <f t="shared" si="83"/>
        <v>Greater Dynamic Pressures</v>
      </c>
      <c r="N197" s="23">
        <f t="shared" ref="N197:N253" si="98">W197</f>
        <v>148.38728516127003</v>
      </c>
      <c r="O197" s="56">
        <f t="shared" si="84"/>
        <v>134.77633230778656</v>
      </c>
      <c r="P197" s="65">
        <f>MAX(I197*1000/'Calculation Constants'!$B$14,O197*10*I197*1000/2/('Calculation Constants'!$B$12*1000*'Calculation Constants'!$B$13))</f>
        <v>11.25</v>
      </c>
      <c r="Q197" s="67">
        <f t="shared" si="85"/>
        <v>992548.40161508287</v>
      </c>
      <c r="R197" s="27">
        <f>(1/(2*LOG(3.7*$I197/'Calculation Constants'!$B$2*1000)))^2</f>
        <v>8.7463077071963571E-3</v>
      </c>
      <c r="S197" s="19">
        <f t="shared" ref="S197:S253" si="99">IF($H197&gt;0,R197*$H197*$K197^2/2/9.81/$I197*1000,"")</f>
        <v>1.2752477269849725</v>
      </c>
      <c r="T197" s="19">
        <f>IF($H197&gt;0,'Calculation Constants'!$B$9*Hydraulics!$K197^2/2/9.81/MAX($F$4:$F$253)*$H197,"")</f>
        <v>7.8734226558858159E-2</v>
      </c>
      <c r="U197" s="19">
        <f t="shared" ref="U197:U253" si="100">IF(S197="",0,S197+T197)</f>
        <v>1.3539819535438307</v>
      </c>
      <c r="V197" s="19">
        <f t="shared" si="86"/>
        <v>0</v>
      </c>
      <c r="W197" s="19">
        <f t="shared" si="87"/>
        <v>148.38728516127003</v>
      </c>
      <c r="X197" s="23">
        <f t="shared" si="88"/>
        <v>1158.85928516127</v>
      </c>
      <c r="Y197" s="22">
        <f>(1/(2*LOG(3.7*$I197/'Calculation Constants'!$B$3*1000)))^2</f>
        <v>9.8211436332891755E-3</v>
      </c>
      <c r="Z197" s="19">
        <f t="shared" si="89"/>
        <v>1.431963236834217</v>
      </c>
      <c r="AA197" s="19">
        <f>IF($H197&gt;0,'Calculation Constants'!$B$9*Hydraulics!$K197^2/2/9.81/MAX($F$4:$F$253)*$H197,"")</f>
        <v>7.8734226558858159E-2</v>
      </c>
      <c r="AB197" s="19">
        <f t="shared" si="81"/>
        <v>1.5106974633930752</v>
      </c>
      <c r="AC197" s="19">
        <f t="shared" si="90"/>
        <v>0</v>
      </c>
      <c r="AD197" s="19">
        <f t="shared" ref="AD197:AD253" si="101">AE197-$G197</f>
        <v>134.77633230778656</v>
      </c>
      <c r="AE197" s="23">
        <f t="shared" si="91"/>
        <v>1145.2483323077865</v>
      </c>
      <c r="AF197" s="27">
        <f>(1/(2*LOG(3.7*$I197/'Calculation Constants'!$B$4*1000)))^2</f>
        <v>1.1575055557914658E-2</v>
      </c>
      <c r="AG197" s="19">
        <f t="shared" si="92"/>
        <v>1.6876908272744866</v>
      </c>
      <c r="AH197" s="19">
        <f>IF($H197&gt;0,'Calculation Constants'!$B$9*Hydraulics!$K197^2/2/9.81/MAX($F$4:$F$253)*$H197,"")</f>
        <v>7.8734226558858159E-2</v>
      </c>
      <c r="AI197" s="19">
        <f t="shared" ref="AI197:AI253" si="102">IF(AG197="",0,AG197+AH197)</f>
        <v>1.7664250538333448</v>
      </c>
      <c r="AJ197" s="19">
        <f t="shared" si="93"/>
        <v>0</v>
      </c>
      <c r="AK197" s="19">
        <f t="shared" ref="AK197:AK253" si="103">AL197-$G197</f>
        <v>112.61872559289873</v>
      </c>
      <c r="AL197" s="23">
        <f t="shared" si="94"/>
        <v>1123.0907255928987</v>
      </c>
      <c r="AM197" s="22">
        <f>(1/(2*LOG(3.7*($I197-0.008)/'Calculation Constants'!$B$5*1000)))^2</f>
        <v>1.4709705891825043E-2</v>
      </c>
      <c r="AN197" s="19">
        <f t="shared" ref="AN197:AN253" si="104">IF($H197&gt;0,AM197*$H197*$K197^2/2/9.81/($I197-0.008)*1000,"")</f>
        <v>2.1543104841910781</v>
      </c>
      <c r="AO197" s="19">
        <f>IF($H197&gt;0,'Calculation Constants'!$B$9*Hydraulics!$K197^2/2/9.81/MAX($F$4:$F$253)*$H197,"")</f>
        <v>7.8734226558858159E-2</v>
      </c>
      <c r="AP197" s="19">
        <f t="shared" ref="AP197:AP253" si="105">IF(AN197="",0,AN197+AO197)</f>
        <v>2.2330447107499363</v>
      </c>
      <c r="AQ197" s="19">
        <f t="shared" si="95"/>
        <v>0</v>
      </c>
      <c r="AR197" s="19">
        <f t="shared" ref="AR197:AR253" si="106">AS197-$G197</f>
        <v>72.450606366946886</v>
      </c>
      <c r="AS197" s="23">
        <f t="shared" si="96"/>
        <v>1082.9226063669469</v>
      </c>
    </row>
    <row r="198" spans="5:45">
      <c r="E198" s="35" t="str">
        <f t="shared" si="82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53" si="107">F198-F197</f>
        <v>2</v>
      </c>
      <c r="I198" s="19">
        <v>1.8</v>
      </c>
      <c r="J198" s="36">
        <f>'Flow Rate Calculations'!$B$7</f>
        <v>4.0831050228310497</v>
      </c>
      <c r="K198" s="36">
        <f t="shared" si="97"/>
        <v>1.6045588828318709</v>
      </c>
      <c r="L198" s="37">
        <f>$I198*$K198/'Calculation Constants'!$B$7</f>
        <v>2555934.503625989</v>
      </c>
      <c r="M198" s="37" t="str">
        <f t="shared" si="83"/>
        <v>Greater Dynamic Pressures</v>
      </c>
      <c r="N198" s="23">
        <f t="shared" si="98"/>
        <v>152.10430320772628</v>
      </c>
      <c r="O198" s="56">
        <f t="shared" si="84"/>
        <v>138.33663484439342</v>
      </c>
      <c r="P198" s="65">
        <f>MAX(I198*1000/'Calculation Constants'!$B$14,O198*10*I198*1000/2/('Calculation Constants'!$B$12*1000*'Calculation Constants'!$B$13))</f>
        <v>11.25</v>
      </c>
      <c r="Q198" s="67">
        <f t="shared" si="85"/>
        <v>992548.40161508287</v>
      </c>
      <c r="R198" s="27">
        <f>(1/(2*LOG(3.7*$I198/'Calculation Constants'!$B$2*1000)))^2</f>
        <v>8.7463077071963571E-3</v>
      </c>
      <c r="S198" s="19">
        <f t="shared" si="99"/>
        <v>1.2752477269849725</v>
      </c>
      <c r="T198" s="19">
        <f>IF($H198&gt;0,'Calculation Constants'!$B$9*Hydraulics!$K198^2/2/9.81/MAX($F$4:$F$253)*$H198,"")</f>
        <v>7.8734226558858159E-2</v>
      </c>
      <c r="U198" s="19">
        <f t="shared" si="100"/>
        <v>1.3539819535438307</v>
      </c>
      <c r="V198" s="19">
        <f t="shared" si="86"/>
        <v>0</v>
      </c>
      <c r="W198" s="19">
        <f t="shared" si="87"/>
        <v>152.10430320772628</v>
      </c>
      <c r="X198" s="23">
        <f t="shared" si="88"/>
        <v>1157.5053032077262</v>
      </c>
      <c r="Y198" s="22">
        <f>(1/(2*LOG(3.7*$I198/'Calculation Constants'!$B$3*1000)))^2</f>
        <v>9.8211436332891755E-3</v>
      </c>
      <c r="Z198" s="19">
        <f t="shared" si="89"/>
        <v>1.431963236834217</v>
      </c>
      <c r="AA198" s="19">
        <f>IF($H198&gt;0,'Calculation Constants'!$B$9*Hydraulics!$K198^2/2/9.81/MAX($F$4:$F$253)*$H198,"")</f>
        <v>7.8734226558858159E-2</v>
      </c>
      <c r="AB198" s="19">
        <f t="shared" si="81"/>
        <v>1.5106974633930752</v>
      </c>
      <c r="AC198" s="19">
        <f t="shared" si="90"/>
        <v>0</v>
      </c>
      <c r="AD198" s="19">
        <f t="shared" si="101"/>
        <v>138.33663484439342</v>
      </c>
      <c r="AE198" s="23">
        <f t="shared" si="91"/>
        <v>1143.7376348443934</v>
      </c>
      <c r="AF198" s="27">
        <f>(1/(2*LOG(3.7*$I198/'Calculation Constants'!$B$4*1000)))^2</f>
        <v>1.1575055557914658E-2</v>
      </c>
      <c r="AG198" s="19">
        <f t="shared" si="92"/>
        <v>1.6876908272744866</v>
      </c>
      <c r="AH198" s="19">
        <f>IF($H198&gt;0,'Calculation Constants'!$B$9*Hydraulics!$K198^2/2/9.81/MAX($F$4:$F$253)*$H198,"")</f>
        <v>7.8734226558858159E-2</v>
      </c>
      <c r="AI198" s="19">
        <f t="shared" si="102"/>
        <v>1.7664250538333448</v>
      </c>
      <c r="AJ198" s="19">
        <f t="shared" si="93"/>
        <v>0</v>
      </c>
      <c r="AK198" s="19">
        <f t="shared" si="103"/>
        <v>115.92330053906551</v>
      </c>
      <c r="AL198" s="23">
        <f t="shared" si="94"/>
        <v>1121.3243005390655</v>
      </c>
      <c r="AM198" s="22">
        <f>(1/(2*LOG(3.7*($I198-0.008)/'Calculation Constants'!$B$5*1000)))^2</f>
        <v>1.4709705891825043E-2</v>
      </c>
      <c r="AN198" s="19">
        <f t="shared" si="104"/>
        <v>2.1543104841910781</v>
      </c>
      <c r="AO198" s="19">
        <f>IF($H198&gt;0,'Calculation Constants'!$B$9*Hydraulics!$K198^2/2/9.81/MAX($F$4:$F$253)*$H198,"")</f>
        <v>7.8734226558858159E-2</v>
      </c>
      <c r="AP198" s="19">
        <f t="shared" si="105"/>
        <v>2.2330447107499363</v>
      </c>
      <c r="AQ198" s="19">
        <f t="shared" si="95"/>
        <v>0</v>
      </c>
      <c r="AR198" s="19">
        <f t="shared" si="106"/>
        <v>75.288561656196975</v>
      </c>
      <c r="AS198" s="23">
        <f t="shared" si="96"/>
        <v>1080.6895616561969</v>
      </c>
    </row>
    <row r="199" spans="5:45">
      <c r="E199" s="35" t="str">
        <f t="shared" si="82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7"/>
        <v>2</v>
      </c>
      <c r="I199" s="19">
        <v>1.8</v>
      </c>
      <c r="J199" s="36">
        <f>'Flow Rate Calculations'!$B$7</f>
        <v>4.0831050228310497</v>
      </c>
      <c r="K199" s="36">
        <f t="shared" si="97"/>
        <v>1.6045588828318709</v>
      </c>
      <c r="L199" s="37">
        <f>$I199*$K199/'Calculation Constants'!$B$7</f>
        <v>2555934.503625989</v>
      </c>
      <c r="M199" s="37" t="str">
        <f t="shared" si="83"/>
        <v>Greater Dynamic Pressures</v>
      </c>
      <c r="N199" s="23">
        <f t="shared" si="98"/>
        <v>159.4853212541824</v>
      </c>
      <c r="O199" s="56">
        <f t="shared" si="84"/>
        <v>145.56093738100014</v>
      </c>
      <c r="P199" s="65">
        <f>MAX(I199*1000/'Calculation Constants'!$B$14,O199*10*I199*1000/2/('Calculation Constants'!$B$12*1000*'Calculation Constants'!$B$13))</f>
        <v>11.25</v>
      </c>
      <c r="Q199" s="67">
        <f t="shared" si="85"/>
        <v>992548.40161508287</v>
      </c>
      <c r="R199" s="27">
        <f>(1/(2*LOG(3.7*$I199/'Calculation Constants'!$B$2*1000)))^2</f>
        <v>8.7463077071963571E-3</v>
      </c>
      <c r="S199" s="19">
        <f t="shared" si="99"/>
        <v>1.2752477269849725</v>
      </c>
      <c r="T199" s="19">
        <f>IF($H199&gt;0,'Calculation Constants'!$B$9*Hydraulics!$K199^2/2/9.81/MAX($F$4:$F$253)*$H199,"")</f>
        <v>7.8734226558858159E-2</v>
      </c>
      <c r="U199" s="19">
        <f t="shared" si="100"/>
        <v>1.3539819535438307</v>
      </c>
      <c r="V199" s="19">
        <f t="shared" si="86"/>
        <v>0</v>
      </c>
      <c r="W199" s="19">
        <f t="shared" si="87"/>
        <v>159.4853212541824</v>
      </c>
      <c r="X199" s="23">
        <f t="shared" si="88"/>
        <v>1156.1513212541824</v>
      </c>
      <c r="Y199" s="22">
        <f>(1/(2*LOG(3.7*$I199/'Calculation Constants'!$B$3*1000)))^2</f>
        <v>9.8211436332891755E-3</v>
      </c>
      <c r="Z199" s="19">
        <f t="shared" si="89"/>
        <v>1.431963236834217</v>
      </c>
      <c r="AA199" s="19">
        <f>IF($H199&gt;0,'Calculation Constants'!$B$9*Hydraulics!$K199^2/2/9.81/MAX($F$4:$F$253)*$H199,"")</f>
        <v>7.8734226558858159E-2</v>
      </c>
      <c r="AB199" s="19">
        <f t="shared" si="81"/>
        <v>1.5106974633930752</v>
      </c>
      <c r="AC199" s="19">
        <f t="shared" si="90"/>
        <v>0</v>
      </c>
      <c r="AD199" s="19">
        <f t="shared" si="101"/>
        <v>145.56093738100014</v>
      </c>
      <c r="AE199" s="23">
        <f t="shared" si="91"/>
        <v>1142.2269373810002</v>
      </c>
      <c r="AF199" s="27">
        <f>(1/(2*LOG(3.7*$I199/'Calculation Constants'!$B$4*1000)))^2</f>
        <v>1.1575055557914658E-2</v>
      </c>
      <c r="AG199" s="19">
        <f t="shared" si="92"/>
        <v>1.6876908272744866</v>
      </c>
      <c r="AH199" s="19">
        <f>IF($H199&gt;0,'Calculation Constants'!$B$9*Hydraulics!$K199^2/2/9.81/MAX($F$4:$F$253)*$H199,"")</f>
        <v>7.8734226558858159E-2</v>
      </c>
      <c r="AI199" s="19">
        <f t="shared" si="102"/>
        <v>1.7664250538333448</v>
      </c>
      <c r="AJ199" s="19">
        <f t="shared" si="93"/>
        <v>0</v>
      </c>
      <c r="AK199" s="19">
        <f t="shared" si="103"/>
        <v>122.89187548523216</v>
      </c>
      <c r="AL199" s="23">
        <f t="shared" si="94"/>
        <v>1119.5578754852322</v>
      </c>
      <c r="AM199" s="22">
        <f>(1/(2*LOG(3.7*($I199-0.008)/'Calculation Constants'!$B$5*1000)))^2</f>
        <v>1.4709705891825043E-2</v>
      </c>
      <c r="AN199" s="19">
        <f t="shared" si="104"/>
        <v>2.1543104841910781</v>
      </c>
      <c r="AO199" s="19">
        <f>IF($H199&gt;0,'Calculation Constants'!$B$9*Hydraulics!$K199^2/2/9.81/MAX($F$4:$F$253)*$H199,"")</f>
        <v>7.8734226558858159E-2</v>
      </c>
      <c r="AP199" s="19">
        <f t="shared" si="105"/>
        <v>2.2330447107499363</v>
      </c>
      <c r="AQ199" s="19">
        <f t="shared" si="95"/>
        <v>0</v>
      </c>
      <c r="AR199" s="19">
        <f t="shared" si="106"/>
        <v>81.790516945446939</v>
      </c>
      <c r="AS199" s="23">
        <f t="shared" si="96"/>
        <v>1078.456516945447</v>
      </c>
    </row>
    <row r="200" spans="5:45">
      <c r="E200" s="35" t="str">
        <f t="shared" si="82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7"/>
        <v>2</v>
      </c>
      <c r="I200" s="19">
        <v>1.8</v>
      </c>
      <c r="J200" s="36">
        <f>'Flow Rate Calculations'!$B$7</f>
        <v>4.0831050228310497</v>
      </c>
      <c r="K200" s="36">
        <f t="shared" si="97"/>
        <v>1.6045588828318709</v>
      </c>
      <c r="L200" s="37">
        <f>$I200*$K200/'Calculation Constants'!$B$7</f>
        <v>2555934.503625989</v>
      </c>
      <c r="M200" s="37" t="str">
        <f t="shared" si="83"/>
        <v>Greater Dynamic Pressures</v>
      </c>
      <c r="N200" s="23">
        <f t="shared" si="98"/>
        <v>163.44733930063865</v>
      </c>
      <c r="O200" s="56">
        <f t="shared" si="84"/>
        <v>149.366239917607</v>
      </c>
      <c r="P200" s="65">
        <f>MAX(I200*1000/'Calculation Constants'!$B$14,O200*10*I200*1000/2/('Calculation Constants'!$B$12*1000*'Calculation Constants'!$B$13))</f>
        <v>11.25</v>
      </c>
      <c r="Q200" s="67">
        <f t="shared" si="85"/>
        <v>992548.40161508287</v>
      </c>
      <c r="R200" s="27">
        <f>(1/(2*LOG(3.7*$I200/'Calculation Constants'!$B$2*1000)))^2</f>
        <v>8.7463077071963571E-3</v>
      </c>
      <c r="S200" s="19">
        <f t="shared" si="99"/>
        <v>1.2752477269849725</v>
      </c>
      <c r="T200" s="19">
        <f>IF($H200&gt;0,'Calculation Constants'!$B$9*Hydraulics!$K200^2/2/9.81/MAX($F$4:$F$253)*$H200,"")</f>
        <v>7.8734226558858159E-2</v>
      </c>
      <c r="U200" s="19">
        <f t="shared" si="100"/>
        <v>1.3539819535438307</v>
      </c>
      <c r="V200" s="19">
        <f t="shared" si="86"/>
        <v>0</v>
      </c>
      <c r="W200" s="19">
        <f t="shared" si="87"/>
        <v>163.44733930063865</v>
      </c>
      <c r="X200" s="23">
        <f t="shared" si="88"/>
        <v>1154.7973393006387</v>
      </c>
      <c r="Y200" s="22">
        <f>(1/(2*LOG(3.7*$I200/'Calculation Constants'!$B$3*1000)))^2</f>
        <v>9.8211436332891755E-3</v>
      </c>
      <c r="Z200" s="19">
        <f t="shared" si="89"/>
        <v>1.431963236834217</v>
      </c>
      <c r="AA200" s="19">
        <f>IF($H200&gt;0,'Calculation Constants'!$B$9*Hydraulics!$K200^2/2/9.81/MAX($F$4:$F$253)*$H200,"")</f>
        <v>7.8734226558858159E-2</v>
      </c>
      <c r="AB200" s="19">
        <f t="shared" ref="AB200:AB253" si="108">IF(Z200="",0,Z200+AA200)</f>
        <v>1.5106974633930752</v>
      </c>
      <c r="AC200" s="19">
        <f t="shared" si="90"/>
        <v>0</v>
      </c>
      <c r="AD200" s="19">
        <f t="shared" si="101"/>
        <v>149.366239917607</v>
      </c>
      <c r="AE200" s="23">
        <f t="shared" si="91"/>
        <v>1140.716239917607</v>
      </c>
      <c r="AF200" s="27">
        <f>(1/(2*LOG(3.7*$I200/'Calculation Constants'!$B$4*1000)))^2</f>
        <v>1.1575055557914658E-2</v>
      </c>
      <c r="AG200" s="19">
        <f t="shared" si="92"/>
        <v>1.6876908272744866</v>
      </c>
      <c r="AH200" s="19">
        <f>IF($H200&gt;0,'Calculation Constants'!$B$9*Hydraulics!$K200^2/2/9.81/MAX($F$4:$F$253)*$H200,"")</f>
        <v>7.8734226558858159E-2</v>
      </c>
      <c r="AI200" s="19">
        <f t="shared" si="102"/>
        <v>1.7664250538333448</v>
      </c>
      <c r="AJ200" s="19">
        <f t="shared" si="93"/>
        <v>0</v>
      </c>
      <c r="AK200" s="19">
        <f t="shared" si="103"/>
        <v>126.44145043139895</v>
      </c>
      <c r="AL200" s="23">
        <f t="shared" si="94"/>
        <v>1117.791450431399</v>
      </c>
      <c r="AM200" s="22">
        <f>(1/(2*LOG(3.7*($I200-0.008)/'Calculation Constants'!$B$5*1000)))^2</f>
        <v>1.4709705891825043E-2</v>
      </c>
      <c r="AN200" s="19">
        <f t="shared" si="104"/>
        <v>2.1543104841910781</v>
      </c>
      <c r="AO200" s="19">
        <f>IF($H200&gt;0,'Calculation Constants'!$B$9*Hydraulics!$K200^2/2/9.81/MAX($F$4:$F$253)*$H200,"")</f>
        <v>7.8734226558858159E-2</v>
      </c>
      <c r="AP200" s="19">
        <f t="shared" si="105"/>
        <v>2.2330447107499363</v>
      </c>
      <c r="AQ200" s="19">
        <f t="shared" si="95"/>
        <v>0</v>
      </c>
      <c r="AR200" s="19">
        <f t="shared" si="106"/>
        <v>84.873472234697033</v>
      </c>
      <c r="AS200" s="23">
        <f t="shared" si="96"/>
        <v>1076.2234722346971</v>
      </c>
    </row>
    <row r="201" spans="5:45">
      <c r="E201" s="35" t="str">
        <f t="shared" si="82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7"/>
        <v>2</v>
      </c>
      <c r="I201" s="19">
        <v>1.8</v>
      </c>
      <c r="J201" s="36">
        <f>'Flow Rate Calculations'!$B$7</f>
        <v>4.0831050228310497</v>
      </c>
      <c r="K201" s="36">
        <f t="shared" si="97"/>
        <v>1.6045588828318709</v>
      </c>
      <c r="L201" s="37">
        <f>$I201*$K201/'Calculation Constants'!$B$7</f>
        <v>2555934.503625989</v>
      </c>
      <c r="M201" s="37" t="str">
        <f t="shared" si="83"/>
        <v>Greater Dynamic Pressures</v>
      </c>
      <c r="N201" s="23">
        <f t="shared" si="98"/>
        <v>162.9573573470949</v>
      </c>
      <c r="O201" s="56">
        <f t="shared" si="84"/>
        <v>148.71954245421387</v>
      </c>
      <c r="P201" s="65">
        <f>MAX(I201*1000/'Calculation Constants'!$B$14,O201*10*I201*1000/2/('Calculation Constants'!$B$12*1000*'Calculation Constants'!$B$13))</f>
        <v>11.25</v>
      </c>
      <c r="Q201" s="67">
        <f t="shared" si="85"/>
        <v>992548.40161508287</v>
      </c>
      <c r="R201" s="27">
        <f>(1/(2*LOG(3.7*$I201/'Calculation Constants'!$B$2*1000)))^2</f>
        <v>8.7463077071963571E-3</v>
      </c>
      <c r="S201" s="19">
        <f t="shared" si="99"/>
        <v>1.2752477269849725</v>
      </c>
      <c r="T201" s="19">
        <f>IF($H201&gt;0,'Calculation Constants'!$B$9*Hydraulics!$K201^2/2/9.81/MAX($F$4:$F$253)*$H201,"")</f>
        <v>7.8734226558858159E-2</v>
      </c>
      <c r="U201" s="19">
        <f t="shared" si="100"/>
        <v>1.3539819535438307</v>
      </c>
      <c r="V201" s="19">
        <f t="shared" si="86"/>
        <v>0</v>
      </c>
      <c r="W201" s="19">
        <f t="shared" si="87"/>
        <v>162.9573573470949</v>
      </c>
      <c r="X201" s="23">
        <f t="shared" si="88"/>
        <v>1153.4433573470949</v>
      </c>
      <c r="Y201" s="22">
        <f>(1/(2*LOG(3.7*$I201/'Calculation Constants'!$B$3*1000)))^2</f>
        <v>9.8211436332891755E-3</v>
      </c>
      <c r="Z201" s="19">
        <f t="shared" si="89"/>
        <v>1.431963236834217</v>
      </c>
      <c r="AA201" s="19">
        <f>IF($H201&gt;0,'Calculation Constants'!$B$9*Hydraulics!$K201^2/2/9.81/MAX($F$4:$F$253)*$H201,"")</f>
        <v>7.8734226558858159E-2</v>
      </c>
      <c r="AB201" s="19">
        <f t="shared" si="108"/>
        <v>1.5106974633930752</v>
      </c>
      <c r="AC201" s="19">
        <f t="shared" si="90"/>
        <v>0</v>
      </c>
      <c r="AD201" s="19">
        <f t="shared" si="101"/>
        <v>148.71954245421387</v>
      </c>
      <c r="AE201" s="23">
        <f t="shared" si="91"/>
        <v>1139.2055424542139</v>
      </c>
      <c r="AF201" s="27">
        <f>(1/(2*LOG(3.7*$I201/'Calculation Constants'!$B$4*1000)))^2</f>
        <v>1.1575055557914658E-2</v>
      </c>
      <c r="AG201" s="19">
        <f t="shared" si="92"/>
        <v>1.6876908272744866</v>
      </c>
      <c r="AH201" s="19">
        <f>IF($H201&gt;0,'Calculation Constants'!$B$9*Hydraulics!$K201^2/2/9.81/MAX($F$4:$F$253)*$H201,"")</f>
        <v>7.8734226558858159E-2</v>
      </c>
      <c r="AI201" s="19">
        <f t="shared" si="102"/>
        <v>1.7664250538333448</v>
      </c>
      <c r="AJ201" s="19">
        <f t="shared" si="93"/>
        <v>0</v>
      </c>
      <c r="AK201" s="19">
        <f t="shared" si="103"/>
        <v>125.53902537756574</v>
      </c>
      <c r="AL201" s="23">
        <f t="shared" si="94"/>
        <v>1116.0250253775657</v>
      </c>
      <c r="AM201" s="22">
        <f>(1/(2*LOG(3.7*($I201-0.008)/'Calculation Constants'!$B$5*1000)))^2</f>
        <v>1.4709705891825043E-2</v>
      </c>
      <c r="AN201" s="19">
        <f t="shared" si="104"/>
        <v>2.1543104841910781</v>
      </c>
      <c r="AO201" s="19">
        <f>IF($H201&gt;0,'Calculation Constants'!$B$9*Hydraulics!$K201^2/2/9.81/MAX($F$4:$F$253)*$H201,"")</f>
        <v>7.8734226558858159E-2</v>
      </c>
      <c r="AP201" s="19">
        <f t="shared" si="105"/>
        <v>2.2330447107499363</v>
      </c>
      <c r="AQ201" s="19">
        <f t="shared" si="95"/>
        <v>0</v>
      </c>
      <c r="AR201" s="19">
        <f t="shared" si="106"/>
        <v>83.504427523947129</v>
      </c>
      <c r="AS201" s="23">
        <f t="shared" si="96"/>
        <v>1073.9904275239471</v>
      </c>
    </row>
    <row r="202" spans="5:45">
      <c r="E202" s="35" t="str">
        <f t="shared" si="82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7"/>
        <v>2</v>
      </c>
      <c r="I202" s="19">
        <v>1.8</v>
      </c>
      <c r="J202" s="36">
        <f>'Flow Rate Calculations'!$B$7</f>
        <v>4.0831050228310497</v>
      </c>
      <c r="K202" s="36">
        <f t="shared" si="97"/>
        <v>1.6045588828318709</v>
      </c>
      <c r="L202" s="37">
        <f>$I202*$K202/'Calculation Constants'!$B$7</f>
        <v>2555934.503625989</v>
      </c>
      <c r="M202" s="37" t="str">
        <f t="shared" si="83"/>
        <v>Greater Dynamic Pressures</v>
      </c>
      <c r="N202" s="23">
        <f t="shared" si="98"/>
        <v>159.32837539355114</v>
      </c>
      <c r="O202" s="56">
        <f t="shared" si="84"/>
        <v>144.93384499082072</v>
      </c>
      <c r="P202" s="65">
        <f>MAX(I202*1000/'Calculation Constants'!$B$14,O202*10*I202*1000/2/('Calculation Constants'!$B$12*1000*'Calculation Constants'!$B$13))</f>
        <v>11.25</v>
      </c>
      <c r="Q202" s="67">
        <f t="shared" si="85"/>
        <v>992548.40161508287</v>
      </c>
      <c r="R202" s="27">
        <f>(1/(2*LOG(3.7*$I202/'Calculation Constants'!$B$2*1000)))^2</f>
        <v>8.7463077071963571E-3</v>
      </c>
      <c r="S202" s="19">
        <f t="shared" si="99"/>
        <v>1.2752477269849725</v>
      </c>
      <c r="T202" s="19">
        <f>IF($H202&gt;0,'Calculation Constants'!$B$9*Hydraulics!$K202^2/2/9.81/MAX($F$4:$F$253)*$H202,"")</f>
        <v>7.8734226558858159E-2</v>
      </c>
      <c r="U202" s="19">
        <f t="shared" si="100"/>
        <v>1.3539819535438307</v>
      </c>
      <c r="V202" s="19">
        <f t="shared" si="86"/>
        <v>0</v>
      </c>
      <c r="W202" s="19">
        <f t="shared" si="87"/>
        <v>159.32837539355114</v>
      </c>
      <c r="X202" s="23">
        <f t="shared" si="88"/>
        <v>1152.0893753935511</v>
      </c>
      <c r="Y202" s="22">
        <f>(1/(2*LOG(3.7*$I202/'Calculation Constants'!$B$3*1000)))^2</f>
        <v>9.8211436332891755E-3</v>
      </c>
      <c r="Z202" s="19">
        <f t="shared" si="89"/>
        <v>1.431963236834217</v>
      </c>
      <c r="AA202" s="19">
        <f>IF($H202&gt;0,'Calculation Constants'!$B$9*Hydraulics!$K202^2/2/9.81/MAX($F$4:$F$253)*$H202,"")</f>
        <v>7.8734226558858159E-2</v>
      </c>
      <c r="AB202" s="19">
        <f t="shared" si="108"/>
        <v>1.5106974633930752</v>
      </c>
      <c r="AC202" s="19">
        <f t="shared" si="90"/>
        <v>0</v>
      </c>
      <c r="AD202" s="19">
        <f t="shared" si="101"/>
        <v>144.93384499082072</v>
      </c>
      <c r="AE202" s="23">
        <f t="shared" si="91"/>
        <v>1137.6948449908207</v>
      </c>
      <c r="AF202" s="27">
        <f>(1/(2*LOG(3.7*$I202/'Calculation Constants'!$B$4*1000)))^2</f>
        <v>1.1575055557914658E-2</v>
      </c>
      <c r="AG202" s="19">
        <f t="shared" si="92"/>
        <v>1.6876908272744866</v>
      </c>
      <c r="AH202" s="19">
        <f>IF($H202&gt;0,'Calculation Constants'!$B$9*Hydraulics!$K202^2/2/9.81/MAX($F$4:$F$253)*$H202,"")</f>
        <v>7.8734226558858159E-2</v>
      </c>
      <c r="AI202" s="19">
        <f t="shared" si="102"/>
        <v>1.7664250538333448</v>
      </c>
      <c r="AJ202" s="19">
        <f t="shared" si="93"/>
        <v>0</v>
      </c>
      <c r="AK202" s="19">
        <f t="shared" si="103"/>
        <v>121.49760032373251</v>
      </c>
      <c r="AL202" s="23">
        <f t="shared" si="94"/>
        <v>1114.2586003237325</v>
      </c>
      <c r="AM202" s="22">
        <f>(1/(2*LOG(3.7*($I202-0.008)/'Calculation Constants'!$B$5*1000)))^2</f>
        <v>1.4709705891825043E-2</v>
      </c>
      <c r="AN202" s="19">
        <f t="shared" si="104"/>
        <v>2.1543104841910781</v>
      </c>
      <c r="AO202" s="19">
        <f>IF($H202&gt;0,'Calculation Constants'!$B$9*Hydraulics!$K202^2/2/9.81/MAX($F$4:$F$253)*$H202,"")</f>
        <v>7.8734226558858159E-2</v>
      </c>
      <c r="AP202" s="19">
        <f t="shared" si="105"/>
        <v>2.2330447107499363</v>
      </c>
      <c r="AQ202" s="19">
        <f t="shared" si="95"/>
        <v>0</v>
      </c>
      <c r="AR202" s="19">
        <f t="shared" si="106"/>
        <v>78.996382813197215</v>
      </c>
      <c r="AS202" s="23">
        <f t="shared" si="96"/>
        <v>1071.7573828131972</v>
      </c>
    </row>
    <row r="203" spans="5:45">
      <c r="E203" s="35" t="str">
        <f t="shared" si="82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7"/>
        <v>2</v>
      </c>
      <c r="I203" s="19">
        <v>1.8</v>
      </c>
      <c r="J203" s="36">
        <f>'Flow Rate Calculations'!$B$7</f>
        <v>4.0831050228310497</v>
      </c>
      <c r="K203" s="36">
        <f t="shared" si="97"/>
        <v>1.6045588828318709</v>
      </c>
      <c r="L203" s="37">
        <f>$I203*$K203/'Calculation Constants'!$B$7</f>
        <v>2555934.503625989</v>
      </c>
      <c r="M203" s="37" t="str">
        <f t="shared" si="83"/>
        <v>Greater Dynamic Pressures</v>
      </c>
      <c r="N203" s="23">
        <f t="shared" si="98"/>
        <v>151.65839344000733</v>
      </c>
      <c r="O203" s="56">
        <f t="shared" si="84"/>
        <v>137.10714752742751</v>
      </c>
      <c r="P203" s="65">
        <f>MAX(I203*1000/'Calculation Constants'!$B$14,O203*10*I203*1000/2/('Calculation Constants'!$B$12*1000*'Calculation Constants'!$B$13))</f>
        <v>11.25</v>
      </c>
      <c r="Q203" s="67">
        <f t="shared" si="85"/>
        <v>992548.40161508287</v>
      </c>
      <c r="R203" s="27">
        <f>(1/(2*LOG(3.7*$I203/'Calculation Constants'!$B$2*1000)))^2</f>
        <v>8.7463077071963571E-3</v>
      </c>
      <c r="S203" s="19">
        <f t="shared" si="99"/>
        <v>1.2752477269849725</v>
      </c>
      <c r="T203" s="19">
        <f>IF($H203&gt;0,'Calculation Constants'!$B$9*Hydraulics!$K203^2/2/9.81/MAX($F$4:$F$253)*$H203,"")</f>
        <v>7.8734226558858159E-2</v>
      </c>
      <c r="U203" s="19">
        <f t="shared" si="100"/>
        <v>1.3539819535438307</v>
      </c>
      <c r="V203" s="19">
        <f t="shared" si="86"/>
        <v>0</v>
      </c>
      <c r="W203" s="19">
        <f t="shared" si="87"/>
        <v>151.65839344000733</v>
      </c>
      <c r="X203" s="23">
        <f t="shared" si="88"/>
        <v>1150.7353934400073</v>
      </c>
      <c r="Y203" s="22">
        <f>(1/(2*LOG(3.7*$I203/'Calculation Constants'!$B$3*1000)))^2</f>
        <v>9.8211436332891755E-3</v>
      </c>
      <c r="Z203" s="19">
        <f t="shared" si="89"/>
        <v>1.431963236834217</v>
      </c>
      <c r="AA203" s="19">
        <f>IF($H203&gt;0,'Calculation Constants'!$B$9*Hydraulics!$K203^2/2/9.81/MAX($F$4:$F$253)*$H203,"")</f>
        <v>7.8734226558858159E-2</v>
      </c>
      <c r="AB203" s="19">
        <f t="shared" si="108"/>
        <v>1.5106974633930752</v>
      </c>
      <c r="AC203" s="19">
        <f t="shared" si="90"/>
        <v>0</v>
      </c>
      <c r="AD203" s="19">
        <f t="shared" si="101"/>
        <v>137.10714752742751</v>
      </c>
      <c r="AE203" s="23">
        <f t="shared" si="91"/>
        <v>1136.1841475274275</v>
      </c>
      <c r="AF203" s="27">
        <f>(1/(2*LOG(3.7*$I203/'Calculation Constants'!$B$4*1000)))^2</f>
        <v>1.1575055557914658E-2</v>
      </c>
      <c r="AG203" s="19">
        <f t="shared" si="92"/>
        <v>1.6876908272744866</v>
      </c>
      <c r="AH203" s="19">
        <f>IF($H203&gt;0,'Calculation Constants'!$B$9*Hydraulics!$K203^2/2/9.81/MAX($F$4:$F$253)*$H203,"")</f>
        <v>7.8734226558858159E-2</v>
      </c>
      <c r="AI203" s="19">
        <f t="shared" si="102"/>
        <v>1.7664250538333448</v>
      </c>
      <c r="AJ203" s="19">
        <f t="shared" si="93"/>
        <v>0</v>
      </c>
      <c r="AK203" s="19">
        <f t="shared" si="103"/>
        <v>113.41517526989924</v>
      </c>
      <c r="AL203" s="23">
        <f t="shared" si="94"/>
        <v>1112.4921752698992</v>
      </c>
      <c r="AM203" s="22">
        <f>(1/(2*LOG(3.7*($I203-0.008)/'Calculation Constants'!$B$5*1000)))^2</f>
        <v>1.4709705891825043E-2</v>
      </c>
      <c r="AN203" s="19">
        <f t="shared" si="104"/>
        <v>2.1543104841910781</v>
      </c>
      <c r="AO203" s="19">
        <f>IF($H203&gt;0,'Calculation Constants'!$B$9*Hydraulics!$K203^2/2/9.81/MAX($F$4:$F$253)*$H203,"")</f>
        <v>7.8734226558858159E-2</v>
      </c>
      <c r="AP203" s="19">
        <f t="shared" si="105"/>
        <v>2.2330447107499363</v>
      </c>
      <c r="AQ203" s="19">
        <f t="shared" si="95"/>
        <v>0</v>
      </c>
      <c r="AR203" s="19">
        <f t="shared" si="106"/>
        <v>70.447338102447247</v>
      </c>
      <c r="AS203" s="23">
        <f t="shared" si="96"/>
        <v>1069.5243381024472</v>
      </c>
    </row>
    <row r="204" spans="5:45">
      <c r="E204" s="35" t="str">
        <f t="shared" si="82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7"/>
        <v>2</v>
      </c>
      <c r="I204" s="19">
        <v>1.8</v>
      </c>
      <c r="J204" s="36">
        <f>'Flow Rate Calculations'!$B$7</f>
        <v>4.0831050228310497</v>
      </c>
      <c r="K204" s="36">
        <f t="shared" si="97"/>
        <v>1.6045588828318709</v>
      </c>
      <c r="L204" s="37">
        <f>$I204*$K204/'Calculation Constants'!$B$7</f>
        <v>2555934.503625989</v>
      </c>
      <c r="M204" s="37" t="str">
        <f t="shared" si="83"/>
        <v>Greater Dynamic Pressures</v>
      </c>
      <c r="N204" s="23">
        <f t="shared" si="98"/>
        <v>147.58141148646359</v>
      </c>
      <c r="O204" s="56">
        <f t="shared" si="84"/>
        <v>132.87345006403439</v>
      </c>
      <c r="P204" s="65">
        <f>MAX(I204*1000/'Calculation Constants'!$B$14,O204*10*I204*1000/2/('Calculation Constants'!$B$12*1000*'Calculation Constants'!$B$13))</f>
        <v>11.25</v>
      </c>
      <c r="Q204" s="67">
        <f t="shared" si="85"/>
        <v>992548.40161508287</v>
      </c>
      <c r="R204" s="27">
        <f>(1/(2*LOG(3.7*$I204/'Calculation Constants'!$B$2*1000)))^2</f>
        <v>8.7463077071963571E-3</v>
      </c>
      <c r="S204" s="19">
        <f t="shared" si="99"/>
        <v>1.2752477269849725</v>
      </c>
      <c r="T204" s="19">
        <f>IF($H204&gt;0,'Calculation Constants'!$B$9*Hydraulics!$K204^2/2/9.81/MAX($F$4:$F$253)*$H204,"")</f>
        <v>7.8734226558858159E-2</v>
      </c>
      <c r="U204" s="19">
        <f t="shared" si="100"/>
        <v>1.3539819535438307</v>
      </c>
      <c r="V204" s="19">
        <f t="shared" si="86"/>
        <v>0</v>
      </c>
      <c r="W204" s="19">
        <f t="shared" si="87"/>
        <v>147.58141148646359</v>
      </c>
      <c r="X204" s="23">
        <f t="shared" si="88"/>
        <v>1149.3814114864635</v>
      </c>
      <c r="Y204" s="22">
        <f>(1/(2*LOG(3.7*$I204/'Calculation Constants'!$B$3*1000)))^2</f>
        <v>9.8211436332891755E-3</v>
      </c>
      <c r="Z204" s="19">
        <f t="shared" si="89"/>
        <v>1.431963236834217</v>
      </c>
      <c r="AA204" s="19">
        <f>IF($H204&gt;0,'Calculation Constants'!$B$9*Hydraulics!$K204^2/2/9.81/MAX($F$4:$F$253)*$H204,"")</f>
        <v>7.8734226558858159E-2</v>
      </c>
      <c r="AB204" s="19">
        <f t="shared" si="108"/>
        <v>1.5106974633930752</v>
      </c>
      <c r="AC204" s="19">
        <f t="shared" si="90"/>
        <v>0</v>
      </c>
      <c r="AD204" s="19">
        <f t="shared" si="101"/>
        <v>132.87345006403439</v>
      </c>
      <c r="AE204" s="23">
        <f t="shared" si="91"/>
        <v>1134.6734500640343</v>
      </c>
      <c r="AF204" s="27">
        <f>(1/(2*LOG(3.7*$I204/'Calculation Constants'!$B$4*1000)))^2</f>
        <v>1.1575055557914658E-2</v>
      </c>
      <c r="AG204" s="19">
        <f t="shared" si="92"/>
        <v>1.6876908272744866</v>
      </c>
      <c r="AH204" s="19">
        <f>IF($H204&gt;0,'Calculation Constants'!$B$9*Hydraulics!$K204^2/2/9.81/MAX($F$4:$F$253)*$H204,"")</f>
        <v>7.8734226558858159E-2</v>
      </c>
      <c r="AI204" s="19">
        <f t="shared" si="102"/>
        <v>1.7664250538333448</v>
      </c>
      <c r="AJ204" s="19">
        <f t="shared" si="93"/>
        <v>0</v>
      </c>
      <c r="AK204" s="19">
        <f t="shared" si="103"/>
        <v>108.92575021606604</v>
      </c>
      <c r="AL204" s="23">
        <f t="shared" si="94"/>
        <v>1110.725750216066</v>
      </c>
      <c r="AM204" s="22">
        <f>(1/(2*LOG(3.7*($I204-0.008)/'Calculation Constants'!$B$5*1000)))^2</f>
        <v>1.4709705891825043E-2</v>
      </c>
      <c r="AN204" s="19">
        <f t="shared" si="104"/>
        <v>2.1543104841910781</v>
      </c>
      <c r="AO204" s="19">
        <f>IF($H204&gt;0,'Calculation Constants'!$B$9*Hydraulics!$K204^2/2/9.81/MAX($F$4:$F$253)*$H204,"")</f>
        <v>7.8734226558858159E-2</v>
      </c>
      <c r="AP204" s="19">
        <f t="shared" si="105"/>
        <v>2.2330447107499363</v>
      </c>
      <c r="AQ204" s="19">
        <f t="shared" si="95"/>
        <v>0</v>
      </c>
      <c r="AR204" s="19">
        <f t="shared" si="106"/>
        <v>65.491293391697354</v>
      </c>
      <c r="AS204" s="23">
        <f t="shared" si="96"/>
        <v>1067.2912933916973</v>
      </c>
    </row>
    <row r="205" spans="5:45">
      <c r="E205" s="35" t="str">
        <f t="shared" si="82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7"/>
        <v>2</v>
      </c>
      <c r="I205" s="19">
        <v>1.8</v>
      </c>
      <c r="J205" s="36">
        <f>'Flow Rate Calculations'!$B$7</f>
        <v>4.0831050228310497</v>
      </c>
      <c r="K205" s="36">
        <f t="shared" si="97"/>
        <v>1.6045588828318709</v>
      </c>
      <c r="L205" s="37">
        <f>$I205*$K205/'Calculation Constants'!$B$7</f>
        <v>2555934.503625989</v>
      </c>
      <c r="M205" s="37" t="str">
        <f t="shared" si="83"/>
        <v>Greater Dynamic Pressures</v>
      </c>
      <c r="N205" s="23">
        <f t="shared" si="98"/>
        <v>145.80342953291972</v>
      </c>
      <c r="O205" s="56">
        <f t="shared" si="84"/>
        <v>130.93875260064112</v>
      </c>
      <c r="P205" s="65">
        <f>MAX(I205*1000/'Calculation Constants'!$B$14,O205*10*I205*1000/2/('Calculation Constants'!$B$12*1000*'Calculation Constants'!$B$13))</f>
        <v>11.25</v>
      </c>
      <c r="Q205" s="67">
        <f t="shared" si="85"/>
        <v>992548.40161508287</v>
      </c>
      <c r="R205" s="27">
        <f>(1/(2*LOG(3.7*$I205/'Calculation Constants'!$B$2*1000)))^2</f>
        <v>8.7463077071963571E-3</v>
      </c>
      <c r="S205" s="19">
        <f t="shared" si="99"/>
        <v>1.2752477269849725</v>
      </c>
      <c r="T205" s="19">
        <f>IF($H205&gt;0,'Calculation Constants'!$B$9*Hydraulics!$K205^2/2/9.81/MAX($F$4:$F$253)*$H205,"")</f>
        <v>7.8734226558858159E-2</v>
      </c>
      <c r="U205" s="19">
        <f t="shared" si="100"/>
        <v>1.3539819535438307</v>
      </c>
      <c r="V205" s="19">
        <f t="shared" si="86"/>
        <v>0</v>
      </c>
      <c r="W205" s="19">
        <f t="shared" si="87"/>
        <v>145.80342953291972</v>
      </c>
      <c r="X205" s="23">
        <f t="shared" si="88"/>
        <v>1148.0274295329198</v>
      </c>
      <c r="Y205" s="22">
        <f>(1/(2*LOG(3.7*$I205/'Calculation Constants'!$B$3*1000)))^2</f>
        <v>9.8211436332891755E-3</v>
      </c>
      <c r="Z205" s="19">
        <f t="shared" si="89"/>
        <v>1.431963236834217</v>
      </c>
      <c r="AA205" s="19">
        <f>IF($H205&gt;0,'Calculation Constants'!$B$9*Hydraulics!$K205^2/2/9.81/MAX($F$4:$F$253)*$H205,"")</f>
        <v>7.8734226558858159E-2</v>
      </c>
      <c r="AB205" s="19">
        <f t="shared" si="108"/>
        <v>1.5106974633930752</v>
      </c>
      <c r="AC205" s="19">
        <f t="shared" si="90"/>
        <v>0</v>
      </c>
      <c r="AD205" s="19">
        <f t="shared" si="101"/>
        <v>130.93875260064112</v>
      </c>
      <c r="AE205" s="23">
        <f t="shared" si="91"/>
        <v>1133.1627526006412</v>
      </c>
      <c r="AF205" s="27">
        <f>(1/(2*LOG(3.7*$I205/'Calculation Constants'!$B$4*1000)))^2</f>
        <v>1.1575055557914658E-2</v>
      </c>
      <c r="AG205" s="19">
        <f t="shared" si="92"/>
        <v>1.6876908272744866</v>
      </c>
      <c r="AH205" s="19">
        <f>IF($H205&gt;0,'Calculation Constants'!$B$9*Hydraulics!$K205^2/2/9.81/MAX($F$4:$F$253)*$H205,"")</f>
        <v>7.8734226558858159E-2</v>
      </c>
      <c r="AI205" s="19">
        <f t="shared" si="102"/>
        <v>1.7664250538333448</v>
      </c>
      <c r="AJ205" s="19">
        <f t="shared" si="93"/>
        <v>0</v>
      </c>
      <c r="AK205" s="19">
        <f t="shared" si="103"/>
        <v>106.7353251622327</v>
      </c>
      <c r="AL205" s="23">
        <f t="shared" si="94"/>
        <v>1108.9593251622327</v>
      </c>
      <c r="AM205" s="22">
        <f>(1/(2*LOG(3.7*($I205-0.008)/'Calculation Constants'!$B$5*1000)))^2</f>
        <v>1.4709705891825043E-2</v>
      </c>
      <c r="AN205" s="19">
        <f t="shared" si="104"/>
        <v>2.1543104841910781</v>
      </c>
      <c r="AO205" s="19">
        <f>IF($H205&gt;0,'Calculation Constants'!$B$9*Hydraulics!$K205^2/2/9.81/MAX($F$4:$F$253)*$H205,"")</f>
        <v>7.8734226558858159E-2</v>
      </c>
      <c r="AP205" s="19">
        <f t="shared" si="105"/>
        <v>2.2330447107499363</v>
      </c>
      <c r="AQ205" s="19">
        <f t="shared" si="95"/>
        <v>0</v>
      </c>
      <c r="AR205" s="19">
        <f t="shared" si="106"/>
        <v>62.834248680947326</v>
      </c>
      <c r="AS205" s="23">
        <f t="shared" si="96"/>
        <v>1065.0582486809474</v>
      </c>
    </row>
    <row r="206" spans="5:45">
      <c r="E206" s="35" t="str">
        <f t="shared" si="82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7"/>
        <v>2</v>
      </c>
      <c r="I206" s="19">
        <v>1.8</v>
      </c>
      <c r="J206" s="36">
        <f>'Flow Rate Calculations'!$B$7</f>
        <v>4.0831050228310497</v>
      </c>
      <c r="K206" s="36">
        <f t="shared" si="97"/>
        <v>1.6045588828318709</v>
      </c>
      <c r="L206" s="37">
        <f>$I206*$K206/'Calculation Constants'!$B$7</f>
        <v>2555934.503625989</v>
      </c>
      <c r="M206" s="37" t="str">
        <f t="shared" si="83"/>
        <v>Greater Dynamic Pressures</v>
      </c>
      <c r="N206" s="23">
        <f t="shared" si="98"/>
        <v>144.67044757937595</v>
      </c>
      <c r="O206" s="56">
        <f t="shared" si="84"/>
        <v>129.64905513724796</v>
      </c>
      <c r="P206" s="65">
        <f>MAX(I206*1000/'Calculation Constants'!$B$14,O206*10*I206*1000/2/('Calculation Constants'!$B$12*1000*'Calculation Constants'!$B$13))</f>
        <v>11.25</v>
      </c>
      <c r="Q206" s="67">
        <f t="shared" si="85"/>
        <v>992548.40161508287</v>
      </c>
      <c r="R206" s="27">
        <f>(1/(2*LOG(3.7*$I206/'Calculation Constants'!$B$2*1000)))^2</f>
        <v>8.7463077071963571E-3</v>
      </c>
      <c r="S206" s="19">
        <f t="shared" si="99"/>
        <v>1.2752477269849725</v>
      </c>
      <c r="T206" s="19">
        <f>IF($H206&gt;0,'Calculation Constants'!$B$9*Hydraulics!$K206^2/2/9.81/MAX($F$4:$F$253)*$H206,"")</f>
        <v>7.8734226558858159E-2</v>
      </c>
      <c r="U206" s="19">
        <f t="shared" si="100"/>
        <v>1.3539819535438307</v>
      </c>
      <c r="V206" s="19">
        <f t="shared" si="86"/>
        <v>0</v>
      </c>
      <c r="W206" s="19">
        <f t="shared" si="87"/>
        <v>144.67044757937595</v>
      </c>
      <c r="X206" s="23">
        <f t="shared" si="88"/>
        <v>1146.673447579376</v>
      </c>
      <c r="Y206" s="22">
        <f>(1/(2*LOG(3.7*$I206/'Calculation Constants'!$B$3*1000)))^2</f>
        <v>9.8211436332891755E-3</v>
      </c>
      <c r="Z206" s="19">
        <f t="shared" si="89"/>
        <v>1.431963236834217</v>
      </c>
      <c r="AA206" s="19">
        <f>IF($H206&gt;0,'Calculation Constants'!$B$9*Hydraulics!$K206^2/2/9.81/MAX($F$4:$F$253)*$H206,"")</f>
        <v>7.8734226558858159E-2</v>
      </c>
      <c r="AB206" s="19">
        <f t="shared" si="108"/>
        <v>1.5106974633930752</v>
      </c>
      <c r="AC206" s="19">
        <f t="shared" si="90"/>
        <v>0</v>
      </c>
      <c r="AD206" s="19">
        <f t="shared" si="101"/>
        <v>129.64905513724796</v>
      </c>
      <c r="AE206" s="23">
        <f t="shared" si="91"/>
        <v>1131.652055137248</v>
      </c>
      <c r="AF206" s="27">
        <f>(1/(2*LOG(3.7*$I206/'Calculation Constants'!$B$4*1000)))^2</f>
        <v>1.1575055557914658E-2</v>
      </c>
      <c r="AG206" s="19">
        <f t="shared" si="92"/>
        <v>1.6876908272744866</v>
      </c>
      <c r="AH206" s="19">
        <f>IF($H206&gt;0,'Calculation Constants'!$B$9*Hydraulics!$K206^2/2/9.81/MAX($F$4:$F$253)*$H206,"")</f>
        <v>7.8734226558858159E-2</v>
      </c>
      <c r="AI206" s="19">
        <f t="shared" si="102"/>
        <v>1.7664250538333448</v>
      </c>
      <c r="AJ206" s="19">
        <f t="shared" si="93"/>
        <v>0</v>
      </c>
      <c r="AK206" s="19">
        <f t="shared" si="103"/>
        <v>105.18990010839946</v>
      </c>
      <c r="AL206" s="23">
        <f t="shared" si="94"/>
        <v>1107.1929001083995</v>
      </c>
      <c r="AM206" s="22">
        <f>(1/(2*LOG(3.7*($I206-0.008)/'Calculation Constants'!$B$5*1000)))^2</f>
        <v>1.4709705891825043E-2</v>
      </c>
      <c r="AN206" s="19">
        <f t="shared" si="104"/>
        <v>2.1543104841910781</v>
      </c>
      <c r="AO206" s="19">
        <f>IF($H206&gt;0,'Calculation Constants'!$B$9*Hydraulics!$K206^2/2/9.81/MAX($F$4:$F$253)*$H206,"")</f>
        <v>7.8734226558858159E-2</v>
      </c>
      <c r="AP206" s="19">
        <f t="shared" si="105"/>
        <v>2.2330447107499363</v>
      </c>
      <c r="AQ206" s="19">
        <f t="shared" si="95"/>
        <v>0</v>
      </c>
      <c r="AR206" s="19">
        <f t="shared" si="106"/>
        <v>60.822203970197393</v>
      </c>
      <c r="AS206" s="23">
        <f t="shared" si="96"/>
        <v>1062.8252039701974</v>
      </c>
    </row>
    <row r="207" spans="5:45">
      <c r="E207" s="35" t="str">
        <f t="shared" si="82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7"/>
        <v>2</v>
      </c>
      <c r="I207" s="19">
        <v>1.8</v>
      </c>
      <c r="J207" s="36">
        <f>'Flow Rate Calculations'!$B$7</f>
        <v>4.0831050228310497</v>
      </c>
      <c r="K207" s="36">
        <f t="shared" si="97"/>
        <v>1.6045588828318709</v>
      </c>
      <c r="L207" s="37">
        <f>$I207*$K207/'Calculation Constants'!$B$7</f>
        <v>2555934.503625989</v>
      </c>
      <c r="M207" s="37" t="str">
        <f t="shared" si="83"/>
        <v>Greater Dynamic Pressures</v>
      </c>
      <c r="N207" s="23">
        <f t="shared" si="98"/>
        <v>141.7234656258322</v>
      </c>
      <c r="O207" s="56">
        <f t="shared" si="84"/>
        <v>126.54535767385482</v>
      </c>
      <c r="P207" s="65">
        <f>MAX(I207*1000/'Calculation Constants'!$B$14,O207*10*I207*1000/2/('Calculation Constants'!$B$12*1000*'Calculation Constants'!$B$13))</f>
        <v>11.25</v>
      </c>
      <c r="Q207" s="67">
        <f t="shared" si="85"/>
        <v>992548.40161508287</v>
      </c>
      <c r="R207" s="27">
        <f>(1/(2*LOG(3.7*$I207/'Calculation Constants'!$B$2*1000)))^2</f>
        <v>8.7463077071963571E-3</v>
      </c>
      <c r="S207" s="19">
        <f t="shared" si="99"/>
        <v>1.2752477269849725</v>
      </c>
      <c r="T207" s="19">
        <f>IF($H207&gt;0,'Calculation Constants'!$B$9*Hydraulics!$K207^2/2/9.81/MAX($F$4:$F$253)*$H207,"")</f>
        <v>7.8734226558858159E-2</v>
      </c>
      <c r="U207" s="19">
        <f t="shared" si="100"/>
        <v>1.3539819535438307</v>
      </c>
      <c r="V207" s="19">
        <f t="shared" si="86"/>
        <v>0</v>
      </c>
      <c r="W207" s="19">
        <f t="shared" si="87"/>
        <v>141.7234656258322</v>
      </c>
      <c r="X207" s="23">
        <f t="shared" si="88"/>
        <v>1145.3194656258322</v>
      </c>
      <c r="Y207" s="22">
        <f>(1/(2*LOG(3.7*$I207/'Calculation Constants'!$B$3*1000)))^2</f>
        <v>9.8211436332891755E-3</v>
      </c>
      <c r="Z207" s="19">
        <f t="shared" si="89"/>
        <v>1.431963236834217</v>
      </c>
      <c r="AA207" s="19">
        <f>IF($H207&gt;0,'Calculation Constants'!$B$9*Hydraulics!$K207^2/2/9.81/MAX($F$4:$F$253)*$H207,"")</f>
        <v>7.8734226558858159E-2</v>
      </c>
      <c r="AB207" s="19">
        <f t="shared" si="108"/>
        <v>1.5106974633930752</v>
      </c>
      <c r="AC207" s="19">
        <f t="shared" si="90"/>
        <v>0</v>
      </c>
      <c r="AD207" s="19">
        <f t="shared" si="101"/>
        <v>126.54535767385482</v>
      </c>
      <c r="AE207" s="23">
        <f t="shared" si="91"/>
        <v>1130.1413576738548</v>
      </c>
      <c r="AF207" s="27">
        <f>(1/(2*LOG(3.7*$I207/'Calculation Constants'!$B$4*1000)))^2</f>
        <v>1.1575055557914658E-2</v>
      </c>
      <c r="AG207" s="19">
        <f t="shared" si="92"/>
        <v>1.6876908272744866</v>
      </c>
      <c r="AH207" s="19">
        <f>IF($H207&gt;0,'Calculation Constants'!$B$9*Hydraulics!$K207^2/2/9.81/MAX($F$4:$F$253)*$H207,"")</f>
        <v>7.8734226558858159E-2</v>
      </c>
      <c r="AI207" s="19">
        <f t="shared" si="102"/>
        <v>1.7664250538333448</v>
      </c>
      <c r="AJ207" s="19">
        <f t="shared" si="93"/>
        <v>0</v>
      </c>
      <c r="AK207" s="19">
        <f t="shared" si="103"/>
        <v>101.83047505456625</v>
      </c>
      <c r="AL207" s="23">
        <f t="shared" si="94"/>
        <v>1105.4264750545663</v>
      </c>
      <c r="AM207" s="22">
        <f>(1/(2*LOG(3.7*($I207-0.008)/'Calculation Constants'!$B$5*1000)))^2</f>
        <v>1.4709705891825043E-2</v>
      </c>
      <c r="AN207" s="19">
        <f t="shared" si="104"/>
        <v>2.1543104841910781</v>
      </c>
      <c r="AO207" s="19">
        <f>IF($H207&gt;0,'Calculation Constants'!$B$9*Hydraulics!$K207^2/2/9.81/MAX($F$4:$F$253)*$H207,"")</f>
        <v>7.8734226558858159E-2</v>
      </c>
      <c r="AP207" s="19">
        <f t="shared" si="105"/>
        <v>2.2330447107499363</v>
      </c>
      <c r="AQ207" s="19">
        <f t="shared" si="95"/>
        <v>0</v>
      </c>
      <c r="AR207" s="19">
        <f t="shared" si="106"/>
        <v>56.996159259447495</v>
      </c>
      <c r="AS207" s="23">
        <f t="shared" si="96"/>
        <v>1060.5921592594475</v>
      </c>
    </row>
    <row r="208" spans="5:45">
      <c r="E208" s="35" t="str">
        <f t="shared" si="82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7"/>
        <v>2</v>
      </c>
      <c r="I208" s="19">
        <v>1.8</v>
      </c>
      <c r="J208" s="36">
        <f>'Flow Rate Calculations'!$B$7</f>
        <v>4.0831050228310497</v>
      </c>
      <c r="K208" s="36">
        <f t="shared" si="97"/>
        <v>1.6045588828318709</v>
      </c>
      <c r="L208" s="37">
        <f>$I208*$K208/'Calculation Constants'!$B$7</f>
        <v>2555934.503625989</v>
      </c>
      <c r="M208" s="37" t="str">
        <f t="shared" si="83"/>
        <v>Greater Dynamic Pressures</v>
      </c>
      <c r="N208" s="23">
        <f t="shared" si="98"/>
        <v>149.85448367228844</v>
      </c>
      <c r="O208" s="56">
        <f t="shared" si="84"/>
        <v>134.51966021046167</v>
      </c>
      <c r="P208" s="65">
        <f>MAX(I208*1000/'Calculation Constants'!$B$14,O208*10*I208*1000/2/('Calculation Constants'!$B$12*1000*'Calculation Constants'!$B$13))</f>
        <v>11.25</v>
      </c>
      <c r="Q208" s="67">
        <f t="shared" si="85"/>
        <v>992548.40161508287</v>
      </c>
      <c r="R208" s="27">
        <f>(1/(2*LOG(3.7*$I208/'Calculation Constants'!$B$2*1000)))^2</f>
        <v>8.7463077071963571E-3</v>
      </c>
      <c r="S208" s="19">
        <f t="shared" si="99"/>
        <v>1.2752477269849725</v>
      </c>
      <c r="T208" s="19">
        <f>IF($H208&gt;0,'Calculation Constants'!$B$9*Hydraulics!$K208^2/2/9.81/MAX($F$4:$F$253)*$H208,"")</f>
        <v>7.8734226558858159E-2</v>
      </c>
      <c r="U208" s="19">
        <f t="shared" si="100"/>
        <v>1.3539819535438307</v>
      </c>
      <c r="V208" s="19">
        <f t="shared" si="86"/>
        <v>0</v>
      </c>
      <c r="W208" s="19">
        <f t="shared" si="87"/>
        <v>149.85448367228844</v>
      </c>
      <c r="X208" s="23">
        <f t="shared" si="88"/>
        <v>1143.9654836722884</v>
      </c>
      <c r="Y208" s="22">
        <f>(1/(2*LOG(3.7*$I208/'Calculation Constants'!$B$3*1000)))^2</f>
        <v>9.8211436332891755E-3</v>
      </c>
      <c r="Z208" s="19">
        <f t="shared" si="89"/>
        <v>1.431963236834217</v>
      </c>
      <c r="AA208" s="19">
        <f>IF($H208&gt;0,'Calculation Constants'!$B$9*Hydraulics!$K208^2/2/9.81/MAX($F$4:$F$253)*$H208,"")</f>
        <v>7.8734226558858159E-2</v>
      </c>
      <c r="AB208" s="19">
        <f t="shared" si="108"/>
        <v>1.5106974633930752</v>
      </c>
      <c r="AC208" s="19">
        <f t="shared" si="90"/>
        <v>0</v>
      </c>
      <c r="AD208" s="19">
        <f t="shared" si="101"/>
        <v>134.51966021046167</v>
      </c>
      <c r="AE208" s="23">
        <f t="shared" si="91"/>
        <v>1128.6306602104617</v>
      </c>
      <c r="AF208" s="27">
        <f>(1/(2*LOG(3.7*$I208/'Calculation Constants'!$B$4*1000)))^2</f>
        <v>1.1575055557914658E-2</v>
      </c>
      <c r="AG208" s="19">
        <f t="shared" si="92"/>
        <v>1.6876908272744866</v>
      </c>
      <c r="AH208" s="19">
        <f>IF($H208&gt;0,'Calculation Constants'!$B$9*Hydraulics!$K208^2/2/9.81/MAX($F$4:$F$253)*$H208,"")</f>
        <v>7.8734226558858159E-2</v>
      </c>
      <c r="AI208" s="19">
        <f t="shared" si="102"/>
        <v>1.7664250538333448</v>
      </c>
      <c r="AJ208" s="19">
        <f t="shared" si="93"/>
        <v>0</v>
      </c>
      <c r="AK208" s="19">
        <f t="shared" si="103"/>
        <v>109.54905000073302</v>
      </c>
      <c r="AL208" s="23">
        <f t="shared" si="94"/>
        <v>1103.660050000733</v>
      </c>
      <c r="AM208" s="22">
        <f>(1/(2*LOG(3.7*($I208-0.008)/'Calculation Constants'!$B$5*1000)))^2</f>
        <v>1.4709705891825043E-2</v>
      </c>
      <c r="AN208" s="19">
        <f t="shared" si="104"/>
        <v>2.1543104841910781</v>
      </c>
      <c r="AO208" s="19">
        <f>IF($H208&gt;0,'Calculation Constants'!$B$9*Hydraulics!$K208^2/2/9.81/MAX($F$4:$F$253)*$H208,"")</f>
        <v>7.8734226558858159E-2</v>
      </c>
      <c r="AP208" s="19">
        <f t="shared" si="105"/>
        <v>2.2330447107499363</v>
      </c>
      <c r="AQ208" s="19">
        <f t="shared" si="95"/>
        <v>0</v>
      </c>
      <c r="AR208" s="19">
        <f t="shared" si="106"/>
        <v>64.248114548697572</v>
      </c>
      <c r="AS208" s="23">
        <f t="shared" si="96"/>
        <v>1058.3591145486976</v>
      </c>
    </row>
    <row r="209" spans="5:45">
      <c r="E209" s="35" t="str">
        <f t="shared" si="82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7"/>
        <v>2</v>
      </c>
      <c r="I209" s="19">
        <v>1.8</v>
      </c>
      <c r="J209" s="36">
        <f>'Flow Rate Calculations'!$B$7</f>
        <v>4.0831050228310497</v>
      </c>
      <c r="K209" s="36">
        <f t="shared" si="97"/>
        <v>1.6045588828318709</v>
      </c>
      <c r="L209" s="37">
        <f>$I209*$K209/'Calculation Constants'!$B$7</f>
        <v>2555934.503625989</v>
      </c>
      <c r="M209" s="37" t="str">
        <f t="shared" si="83"/>
        <v>Greater Dynamic Pressures</v>
      </c>
      <c r="N209" s="23">
        <f t="shared" si="98"/>
        <v>158.68650171874469</v>
      </c>
      <c r="O209" s="56">
        <f t="shared" si="84"/>
        <v>143.19496274706853</v>
      </c>
      <c r="P209" s="65">
        <f>MAX(I209*1000/'Calculation Constants'!$B$14,O209*10*I209*1000/2/('Calculation Constants'!$B$12*1000*'Calculation Constants'!$B$13))</f>
        <v>11.25</v>
      </c>
      <c r="Q209" s="67">
        <f t="shared" si="85"/>
        <v>992548.40161508287</v>
      </c>
      <c r="R209" s="27">
        <f>(1/(2*LOG(3.7*$I209/'Calculation Constants'!$B$2*1000)))^2</f>
        <v>8.7463077071963571E-3</v>
      </c>
      <c r="S209" s="19">
        <f t="shared" si="99"/>
        <v>1.2752477269849725</v>
      </c>
      <c r="T209" s="19">
        <f>IF($H209&gt;0,'Calculation Constants'!$B$9*Hydraulics!$K209^2/2/9.81/MAX($F$4:$F$253)*$H209,"")</f>
        <v>7.8734226558858159E-2</v>
      </c>
      <c r="U209" s="19">
        <f t="shared" si="100"/>
        <v>1.3539819535438307</v>
      </c>
      <c r="V209" s="19">
        <f t="shared" si="86"/>
        <v>0</v>
      </c>
      <c r="W209" s="19">
        <f t="shared" si="87"/>
        <v>158.68650171874469</v>
      </c>
      <c r="X209" s="23">
        <f t="shared" si="88"/>
        <v>1142.6115017187446</v>
      </c>
      <c r="Y209" s="22">
        <f>(1/(2*LOG(3.7*$I209/'Calculation Constants'!$B$3*1000)))^2</f>
        <v>9.8211436332891755E-3</v>
      </c>
      <c r="Z209" s="19">
        <f t="shared" si="89"/>
        <v>1.431963236834217</v>
      </c>
      <c r="AA209" s="19">
        <f>IF($H209&gt;0,'Calculation Constants'!$B$9*Hydraulics!$K209^2/2/9.81/MAX($F$4:$F$253)*$H209,"")</f>
        <v>7.8734226558858159E-2</v>
      </c>
      <c r="AB209" s="19">
        <f t="shared" si="108"/>
        <v>1.5106974633930752</v>
      </c>
      <c r="AC209" s="19">
        <f t="shared" si="90"/>
        <v>0</v>
      </c>
      <c r="AD209" s="19">
        <f t="shared" si="101"/>
        <v>143.19496274706853</v>
      </c>
      <c r="AE209" s="23">
        <f t="shared" si="91"/>
        <v>1127.1199627470685</v>
      </c>
      <c r="AF209" s="27">
        <f>(1/(2*LOG(3.7*$I209/'Calculation Constants'!$B$4*1000)))^2</f>
        <v>1.1575055557914658E-2</v>
      </c>
      <c r="AG209" s="19">
        <f t="shared" si="92"/>
        <v>1.6876908272744866</v>
      </c>
      <c r="AH209" s="19">
        <f>IF($H209&gt;0,'Calculation Constants'!$B$9*Hydraulics!$K209^2/2/9.81/MAX($F$4:$F$253)*$H209,"")</f>
        <v>7.8734226558858159E-2</v>
      </c>
      <c r="AI209" s="19">
        <f t="shared" si="102"/>
        <v>1.7664250538333448</v>
      </c>
      <c r="AJ209" s="19">
        <f t="shared" si="93"/>
        <v>0</v>
      </c>
      <c r="AK209" s="19">
        <f t="shared" si="103"/>
        <v>117.96862494689981</v>
      </c>
      <c r="AL209" s="23">
        <f t="shared" si="94"/>
        <v>1101.8936249468998</v>
      </c>
      <c r="AM209" s="22">
        <f>(1/(2*LOG(3.7*($I209-0.008)/'Calculation Constants'!$B$5*1000)))^2</f>
        <v>1.4709705891825043E-2</v>
      </c>
      <c r="AN209" s="19">
        <f t="shared" si="104"/>
        <v>2.1543104841910781</v>
      </c>
      <c r="AO209" s="19">
        <f>IF($H209&gt;0,'Calculation Constants'!$B$9*Hydraulics!$K209^2/2/9.81/MAX($F$4:$F$253)*$H209,"")</f>
        <v>7.8734226558858159E-2</v>
      </c>
      <c r="AP209" s="19">
        <f t="shared" si="105"/>
        <v>2.2330447107499363</v>
      </c>
      <c r="AQ209" s="19">
        <f t="shared" si="95"/>
        <v>0</v>
      </c>
      <c r="AR209" s="19">
        <f t="shared" si="106"/>
        <v>72.201069837947671</v>
      </c>
      <c r="AS209" s="23">
        <f t="shared" si="96"/>
        <v>1056.1260698379476</v>
      </c>
    </row>
    <row r="210" spans="5:45">
      <c r="E210" s="35" t="str">
        <f t="shared" si="82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7"/>
        <v>2</v>
      </c>
      <c r="I210" s="19">
        <v>1.8</v>
      </c>
      <c r="J210" s="36">
        <f>'Flow Rate Calculations'!$B$7</f>
        <v>4.0831050228310497</v>
      </c>
      <c r="K210" s="36">
        <f t="shared" si="97"/>
        <v>1.6045588828318709</v>
      </c>
      <c r="L210" s="37">
        <f>$I210*$K210/'Calculation Constants'!$B$7</f>
        <v>2555934.503625989</v>
      </c>
      <c r="M210" s="37" t="str">
        <f t="shared" si="83"/>
        <v>Greater Dynamic Pressures</v>
      </c>
      <c r="N210" s="23">
        <f t="shared" si="98"/>
        <v>168.91051976520089</v>
      </c>
      <c r="O210" s="56">
        <f t="shared" si="84"/>
        <v>153.26226528367533</v>
      </c>
      <c r="P210" s="65">
        <f>MAX(I210*1000/'Calculation Constants'!$B$14,O210*10*I210*1000/2/('Calculation Constants'!$B$12*1000*'Calculation Constants'!$B$13))</f>
        <v>11.25</v>
      </c>
      <c r="Q210" s="67">
        <f t="shared" si="85"/>
        <v>992548.40161508287</v>
      </c>
      <c r="R210" s="27">
        <f>(1/(2*LOG(3.7*$I210/'Calculation Constants'!$B$2*1000)))^2</f>
        <v>8.7463077071963571E-3</v>
      </c>
      <c r="S210" s="19">
        <f t="shared" si="99"/>
        <v>1.2752477269849725</v>
      </c>
      <c r="T210" s="19">
        <f>IF($H210&gt;0,'Calculation Constants'!$B$9*Hydraulics!$K210^2/2/9.81/MAX($F$4:$F$253)*$H210,"")</f>
        <v>7.8734226558858159E-2</v>
      </c>
      <c r="U210" s="19">
        <f t="shared" si="100"/>
        <v>1.3539819535438307</v>
      </c>
      <c r="V210" s="19">
        <f t="shared" si="86"/>
        <v>0</v>
      </c>
      <c r="W210" s="19">
        <f t="shared" si="87"/>
        <v>168.91051976520089</v>
      </c>
      <c r="X210" s="23">
        <f t="shared" si="88"/>
        <v>1141.2575197652009</v>
      </c>
      <c r="Y210" s="22">
        <f>(1/(2*LOG(3.7*$I210/'Calculation Constants'!$B$3*1000)))^2</f>
        <v>9.8211436332891755E-3</v>
      </c>
      <c r="Z210" s="19">
        <f t="shared" si="89"/>
        <v>1.431963236834217</v>
      </c>
      <c r="AA210" s="19">
        <f>IF($H210&gt;0,'Calculation Constants'!$B$9*Hydraulics!$K210^2/2/9.81/MAX($F$4:$F$253)*$H210,"")</f>
        <v>7.8734226558858159E-2</v>
      </c>
      <c r="AB210" s="19">
        <f t="shared" si="108"/>
        <v>1.5106974633930752</v>
      </c>
      <c r="AC210" s="19">
        <f t="shared" si="90"/>
        <v>0</v>
      </c>
      <c r="AD210" s="19">
        <f t="shared" si="101"/>
        <v>153.26226528367533</v>
      </c>
      <c r="AE210" s="23">
        <f t="shared" si="91"/>
        <v>1125.6092652836753</v>
      </c>
      <c r="AF210" s="27">
        <f>(1/(2*LOG(3.7*$I210/'Calculation Constants'!$B$4*1000)))^2</f>
        <v>1.1575055557914658E-2</v>
      </c>
      <c r="AG210" s="19">
        <f t="shared" si="92"/>
        <v>1.6876908272744866</v>
      </c>
      <c r="AH210" s="19">
        <f>IF($H210&gt;0,'Calculation Constants'!$B$9*Hydraulics!$K210^2/2/9.81/MAX($F$4:$F$253)*$H210,"")</f>
        <v>7.8734226558858159E-2</v>
      </c>
      <c r="AI210" s="19">
        <f t="shared" si="102"/>
        <v>1.7664250538333448</v>
      </c>
      <c r="AJ210" s="19">
        <f t="shared" si="93"/>
        <v>0</v>
      </c>
      <c r="AK210" s="19">
        <f t="shared" si="103"/>
        <v>127.78019989306654</v>
      </c>
      <c r="AL210" s="23">
        <f t="shared" si="94"/>
        <v>1100.1271998930665</v>
      </c>
      <c r="AM210" s="22">
        <f>(1/(2*LOG(3.7*($I210-0.008)/'Calculation Constants'!$B$5*1000)))^2</f>
        <v>1.4709705891825043E-2</v>
      </c>
      <c r="AN210" s="19">
        <f t="shared" si="104"/>
        <v>2.1543104841910781</v>
      </c>
      <c r="AO210" s="19">
        <f>IF($H210&gt;0,'Calculation Constants'!$B$9*Hydraulics!$K210^2/2/9.81/MAX($F$4:$F$253)*$H210,"")</f>
        <v>7.8734226558858159E-2</v>
      </c>
      <c r="AP210" s="19">
        <f t="shared" si="105"/>
        <v>2.2330447107499363</v>
      </c>
      <c r="AQ210" s="19">
        <f t="shared" si="95"/>
        <v>0</v>
      </c>
      <c r="AR210" s="19">
        <f t="shared" si="106"/>
        <v>81.546025127197709</v>
      </c>
      <c r="AS210" s="23">
        <f t="shared" si="96"/>
        <v>1053.8930251271977</v>
      </c>
    </row>
    <row r="211" spans="5:45">
      <c r="E211" s="35" t="str">
        <f t="shared" si="82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7"/>
        <v>2</v>
      </c>
      <c r="I211" s="19">
        <v>1.8</v>
      </c>
      <c r="J211" s="36">
        <f>'Flow Rate Calculations'!$B$7</f>
        <v>4.0831050228310497</v>
      </c>
      <c r="K211" s="36">
        <f t="shared" si="97"/>
        <v>1.6045588828318709</v>
      </c>
      <c r="L211" s="37">
        <f>$I211*$K211/'Calculation Constants'!$B$7</f>
        <v>2555934.503625989</v>
      </c>
      <c r="M211" s="37" t="str">
        <f t="shared" si="83"/>
        <v>Greater Dynamic Pressures</v>
      </c>
      <c r="N211" s="23">
        <f t="shared" si="98"/>
        <v>176.00253781165713</v>
      </c>
      <c r="O211" s="56">
        <f t="shared" si="84"/>
        <v>160.19756782028219</v>
      </c>
      <c r="P211" s="65">
        <f>MAX(I211*1000/'Calculation Constants'!$B$14,O211*10*I211*1000/2/('Calculation Constants'!$B$12*1000*'Calculation Constants'!$B$13))</f>
        <v>11.25</v>
      </c>
      <c r="Q211" s="67">
        <f t="shared" si="85"/>
        <v>992548.40161508287</v>
      </c>
      <c r="R211" s="27">
        <f>(1/(2*LOG(3.7*$I211/'Calculation Constants'!$B$2*1000)))^2</f>
        <v>8.7463077071963571E-3</v>
      </c>
      <c r="S211" s="19">
        <f t="shared" si="99"/>
        <v>1.2752477269849725</v>
      </c>
      <c r="T211" s="19">
        <f>IF($H211&gt;0,'Calculation Constants'!$B$9*Hydraulics!$K211^2/2/9.81/MAX($F$4:$F$253)*$H211,"")</f>
        <v>7.8734226558858159E-2</v>
      </c>
      <c r="U211" s="19">
        <f t="shared" si="100"/>
        <v>1.3539819535438307</v>
      </c>
      <c r="V211" s="19">
        <f t="shared" si="86"/>
        <v>0</v>
      </c>
      <c r="W211" s="19">
        <f t="shared" si="87"/>
        <v>176.00253781165713</v>
      </c>
      <c r="X211" s="23">
        <f t="shared" si="88"/>
        <v>1139.9035378116571</v>
      </c>
      <c r="Y211" s="22">
        <f>(1/(2*LOG(3.7*$I211/'Calculation Constants'!$B$3*1000)))^2</f>
        <v>9.8211436332891755E-3</v>
      </c>
      <c r="Z211" s="19">
        <f t="shared" si="89"/>
        <v>1.431963236834217</v>
      </c>
      <c r="AA211" s="19">
        <f>IF($H211&gt;0,'Calculation Constants'!$B$9*Hydraulics!$K211^2/2/9.81/MAX($F$4:$F$253)*$H211,"")</f>
        <v>7.8734226558858159E-2</v>
      </c>
      <c r="AB211" s="19">
        <f t="shared" si="108"/>
        <v>1.5106974633930752</v>
      </c>
      <c r="AC211" s="19">
        <f t="shared" si="90"/>
        <v>0</v>
      </c>
      <c r="AD211" s="19">
        <f t="shared" si="101"/>
        <v>160.19756782028219</v>
      </c>
      <c r="AE211" s="23">
        <f t="shared" si="91"/>
        <v>1124.0985678202821</v>
      </c>
      <c r="AF211" s="27">
        <f>(1/(2*LOG(3.7*$I211/'Calculation Constants'!$B$4*1000)))^2</f>
        <v>1.1575055557914658E-2</v>
      </c>
      <c r="AG211" s="19">
        <f t="shared" si="92"/>
        <v>1.6876908272744866</v>
      </c>
      <c r="AH211" s="19">
        <f>IF($H211&gt;0,'Calculation Constants'!$B$9*Hydraulics!$K211^2/2/9.81/MAX($F$4:$F$253)*$H211,"")</f>
        <v>7.8734226558858159E-2</v>
      </c>
      <c r="AI211" s="19">
        <f t="shared" si="102"/>
        <v>1.7664250538333448</v>
      </c>
      <c r="AJ211" s="19">
        <f t="shared" si="93"/>
        <v>0</v>
      </c>
      <c r="AK211" s="19">
        <f t="shared" si="103"/>
        <v>134.45977483923332</v>
      </c>
      <c r="AL211" s="23">
        <f t="shared" si="94"/>
        <v>1098.3607748392333</v>
      </c>
      <c r="AM211" s="22">
        <f>(1/(2*LOG(3.7*($I211-0.008)/'Calculation Constants'!$B$5*1000)))^2</f>
        <v>1.4709705891825043E-2</v>
      </c>
      <c r="AN211" s="19">
        <f t="shared" si="104"/>
        <v>2.1543104841910781</v>
      </c>
      <c r="AO211" s="19">
        <f>IF($H211&gt;0,'Calculation Constants'!$B$9*Hydraulics!$K211^2/2/9.81/MAX($F$4:$F$253)*$H211,"")</f>
        <v>7.8734226558858159E-2</v>
      </c>
      <c r="AP211" s="19">
        <f t="shared" si="105"/>
        <v>2.2330447107499363</v>
      </c>
      <c r="AQ211" s="19">
        <f t="shared" si="95"/>
        <v>0</v>
      </c>
      <c r="AR211" s="19">
        <f t="shared" si="106"/>
        <v>87.758980416447798</v>
      </c>
      <c r="AS211" s="23">
        <f t="shared" si="96"/>
        <v>1051.6599804164478</v>
      </c>
    </row>
    <row r="212" spans="5:45">
      <c r="E212" s="35" t="str">
        <f t="shared" si="82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7"/>
        <v>2</v>
      </c>
      <c r="I212" s="19">
        <v>1.8</v>
      </c>
      <c r="J212" s="36">
        <f>'Flow Rate Calculations'!$B$7</f>
        <v>4.0831050228310497</v>
      </c>
      <c r="K212" s="36">
        <f t="shared" si="97"/>
        <v>1.6045588828318709</v>
      </c>
      <c r="L212" s="37">
        <f>$I212*$K212/'Calculation Constants'!$B$7</f>
        <v>2555934.503625989</v>
      </c>
      <c r="M212" s="37" t="str">
        <f t="shared" si="83"/>
        <v>Greater Dynamic Pressures</v>
      </c>
      <c r="N212" s="23">
        <f t="shared" si="98"/>
        <v>175.29155585811327</v>
      </c>
      <c r="O212" s="56">
        <f t="shared" si="84"/>
        <v>159.32987035688893</v>
      </c>
      <c r="P212" s="65">
        <f>MAX(I212*1000/'Calculation Constants'!$B$14,O212*10*I212*1000/2/('Calculation Constants'!$B$12*1000*'Calculation Constants'!$B$13))</f>
        <v>11.25</v>
      </c>
      <c r="Q212" s="67">
        <f t="shared" si="85"/>
        <v>992548.40161508287</v>
      </c>
      <c r="R212" s="27">
        <f>(1/(2*LOG(3.7*$I212/'Calculation Constants'!$B$2*1000)))^2</f>
        <v>8.7463077071963571E-3</v>
      </c>
      <c r="S212" s="19">
        <f t="shared" si="99"/>
        <v>1.2752477269849725</v>
      </c>
      <c r="T212" s="19">
        <f>IF($H212&gt;0,'Calculation Constants'!$B$9*Hydraulics!$K212^2/2/9.81/MAX($F$4:$F$253)*$H212,"")</f>
        <v>7.8734226558858159E-2</v>
      </c>
      <c r="U212" s="19">
        <f t="shared" si="100"/>
        <v>1.3539819535438307</v>
      </c>
      <c r="V212" s="19">
        <f t="shared" si="86"/>
        <v>0</v>
      </c>
      <c r="W212" s="19">
        <f t="shared" si="87"/>
        <v>175.29155585811327</v>
      </c>
      <c r="X212" s="23">
        <f t="shared" si="88"/>
        <v>1138.5495558581133</v>
      </c>
      <c r="Y212" s="22">
        <f>(1/(2*LOG(3.7*$I212/'Calculation Constants'!$B$3*1000)))^2</f>
        <v>9.8211436332891755E-3</v>
      </c>
      <c r="Z212" s="19">
        <f t="shared" si="89"/>
        <v>1.431963236834217</v>
      </c>
      <c r="AA212" s="19">
        <f>IF($H212&gt;0,'Calculation Constants'!$B$9*Hydraulics!$K212^2/2/9.81/MAX($F$4:$F$253)*$H212,"")</f>
        <v>7.8734226558858159E-2</v>
      </c>
      <c r="AB212" s="19">
        <f t="shared" si="108"/>
        <v>1.5106974633930752</v>
      </c>
      <c r="AC212" s="19">
        <f t="shared" si="90"/>
        <v>0</v>
      </c>
      <c r="AD212" s="19">
        <f t="shared" si="101"/>
        <v>159.32987035688893</v>
      </c>
      <c r="AE212" s="23">
        <f t="shared" si="91"/>
        <v>1122.587870356889</v>
      </c>
      <c r="AF212" s="27">
        <f>(1/(2*LOG(3.7*$I212/'Calculation Constants'!$B$4*1000)))^2</f>
        <v>1.1575055557914658E-2</v>
      </c>
      <c r="AG212" s="19">
        <f t="shared" si="92"/>
        <v>1.6876908272744866</v>
      </c>
      <c r="AH212" s="19">
        <f>IF($H212&gt;0,'Calculation Constants'!$B$9*Hydraulics!$K212^2/2/9.81/MAX($F$4:$F$253)*$H212,"")</f>
        <v>7.8734226558858159E-2</v>
      </c>
      <c r="AI212" s="19">
        <f t="shared" si="102"/>
        <v>1.7664250538333448</v>
      </c>
      <c r="AJ212" s="19">
        <f t="shared" si="93"/>
        <v>0</v>
      </c>
      <c r="AK212" s="19">
        <f t="shared" si="103"/>
        <v>133.33634978539999</v>
      </c>
      <c r="AL212" s="23">
        <f t="shared" si="94"/>
        <v>1096.5943497854</v>
      </c>
      <c r="AM212" s="22">
        <f>(1/(2*LOG(3.7*($I212-0.008)/'Calculation Constants'!$B$5*1000)))^2</f>
        <v>1.4709705891825043E-2</v>
      </c>
      <c r="AN212" s="19">
        <f t="shared" si="104"/>
        <v>2.1543104841910781</v>
      </c>
      <c r="AO212" s="19">
        <f>IF($H212&gt;0,'Calculation Constants'!$B$9*Hydraulics!$K212^2/2/9.81/MAX($F$4:$F$253)*$H212,"")</f>
        <v>7.8734226558858159E-2</v>
      </c>
      <c r="AP212" s="19">
        <f t="shared" si="105"/>
        <v>2.2330447107499363</v>
      </c>
      <c r="AQ212" s="19">
        <f t="shared" si="95"/>
        <v>0</v>
      </c>
      <c r="AR212" s="19">
        <f t="shared" si="106"/>
        <v>86.168935705697777</v>
      </c>
      <c r="AS212" s="23">
        <f t="shared" si="96"/>
        <v>1049.4269357056978</v>
      </c>
    </row>
    <row r="213" spans="5:45">
      <c r="E213" s="35" t="str">
        <f t="shared" si="82"/>
        <v/>
      </c>
      <c r="F213" s="19">
        <f>'Profile data'!A213</f>
        <v>420</v>
      </c>
      <c r="G213" s="19">
        <f>VLOOKUP(F213,'Profile data'!A213:C472,IF($B$22="Botswana 1",2,3))</f>
        <v>965.87199999999996</v>
      </c>
      <c r="H213" s="19">
        <f t="shared" si="107"/>
        <v>2</v>
      </c>
      <c r="I213" s="19">
        <v>1.8</v>
      </c>
      <c r="J213" s="36">
        <f>'Flow Rate Calculations'!$B$7</f>
        <v>4.0831050228310497</v>
      </c>
      <c r="K213" s="36">
        <f t="shared" si="97"/>
        <v>1.6045588828318709</v>
      </c>
      <c r="L213" s="37">
        <f>$I213*$K213/'Calculation Constants'!$B$7</f>
        <v>2555934.503625989</v>
      </c>
      <c r="M213" s="37" t="str">
        <f t="shared" si="83"/>
        <v>Greater Dynamic Pressures</v>
      </c>
      <c r="N213" s="23">
        <f t="shared" si="98"/>
        <v>171.32357390456957</v>
      </c>
      <c r="O213" s="56">
        <f t="shared" si="84"/>
        <v>155.20517289349584</v>
      </c>
      <c r="P213" s="65">
        <f>MAX(I213*1000/'Calculation Constants'!$B$14,O213*10*I213*1000/2/('Calculation Constants'!$B$12*1000*'Calculation Constants'!$B$13))</f>
        <v>11.25</v>
      </c>
      <c r="Q213" s="67">
        <f t="shared" si="85"/>
        <v>992548.40161508287</v>
      </c>
      <c r="R213" s="27">
        <f>(1/(2*LOG(3.7*$I213/'Calculation Constants'!$B$2*1000)))^2</f>
        <v>8.7463077071963571E-3</v>
      </c>
      <c r="S213" s="19">
        <f t="shared" si="99"/>
        <v>1.2752477269849725</v>
      </c>
      <c r="T213" s="19">
        <f>IF($H213&gt;0,'Calculation Constants'!$B$9*Hydraulics!$K213^2/2/9.81/MAX($F$4:$F$253)*$H213,"")</f>
        <v>7.8734226558858159E-2</v>
      </c>
      <c r="U213" s="19">
        <f t="shared" si="100"/>
        <v>1.3539819535438307</v>
      </c>
      <c r="V213" s="19">
        <f t="shared" si="86"/>
        <v>0</v>
      </c>
      <c r="W213" s="19">
        <f t="shared" si="87"/>
        <v>171.32357390456957</v>
      </c>
      <c r="X213" s="23">
        <f t="shared" si="88"/>
        <v>1137.1955739045695</v>
      </c>
      <c r="Y213" s="22">
        <f>(1/(2*LOG(3.7*$I213/'Calculation Constants'!$B$3*1000)))^2</f>
        <v>9.8211436332891755E-3</v>
      </c>
      <c r="Z213" s="19">
        <f t="shared" si="89"/>
        <v>1.431963236834217</v>
      </c>
      <c r="AA213" s="19">
        <f>IF($H213&gt;0,'Calculation Constants'!$B$9*Hydraulics!$K213^2/2/9.81/MAX($F$4:$F$253)*$H213,"")</f>
        <v>7.8734226558858159E-2</v>
      </c>
      <c r="AB213" s="19">
        <f t="shared" si="108"/>
        <v>1.5106974633930752</v>
      </c>
      <c r="AC213" s="19">
        <f t="shared" si="90"/>
        <v>0</v>
      </c>
      <c r="AD213" s="19">
        <f t="shared" si="101"/>
        <v>155.20517289349584</v>
      </c>
      <c r="AE213" s="23">
        <f t="shared" si="91"/>
        <v>1121.0771728934958</v>
      </c>
      <c r="AF213" s="27">
        <f>(1/(2*LOG(3.7*$I213/'Calculation Constants'!$B$4*1000)))^2</f>
        <v>1.1575055557914658E-2</v>
      </c>
      <c r="AG213" s="19">
        <f t="shared" si="92"/>
        <v>1.6876908272744866</v>
      </c>
      <c r="AH213" s="19">
        <f>IF($H213&gt;0,'Calculation Constants'!$B$9*Hydraulics!$K213^2/2/9.81/MAX($F$4:$F$253)*$H213,"")</f>
        <v>7.8734226558858159E-2</v>
      </c>
      <c r="AI213" s="19">
        <f t="shared" si="102"/>
        <v>1.7664250538333448</v>
      </c>
      <c r="AJ213" s="19">
        <f t="shared" si="93"/>
        <v>0</v>
      </c>
      <c r="AK213" s="19">
        <f t="shared" si="103"/>
        <v>128.95592473156682</v>
      </c>
      <c r="AL213" s="23">
        <f t="shared" si="94"/>
        <v>1094.8279247315668</v>
      </c>
      <c r="AM213" s="22">
        <f>(1/(2*LOG(3.7*($I213-0.008)/'Calculation Constants'!$B$5*1000)))^2</f>
        <v>1.4709705891825043E-2</v>
      </c>
      <c r="AN213" s="19">
        <f t="shared" si="104"/>
        <v>2.1543104841910781</v>
      </c>
      <c r="AO213" s="19">
        <f>IF($H213&gt;0,'Calculation Constants'!$B$9*Hydraulics!$K213^2/2/9.81/MAX($F$4:$F$253)*$H213,"")</f>
        <v>7.8734226558858159E-2</v>
      </c>
      <c r="AP213" s="19">
        <f t="shared" si="105"/>
        <v>2.2330447107499363</v>
      </c>
      <c r="AQ213" s="19">
        <f t="shared" si="95"/>
        <v>0</v>
      </c>
      <c r="AR213" s="19">
        <f t="shared" si="106"/>
        <v>81.321890994947921</v>
      </c>
      <c r="AS213" s="23">
        <f t="shared" si="96"/>
        <v>1047.1938909949479</v>
      </c>
    </row>
    <row r="214" spans="5:45">
      <c r="E214" s="35" t="str">
        <f t="shared" si="82"/>
        <v/>
      </c>
      <c r="F214" s="19">
        <f>'Profile data'!A214</f>
        <v>422</v>
      </c>
      <c r="G214" s="19">
        <f>VLOOKUP(F214,'Profile data'!A214:C473,IF($B$22="Botswana 1",2,3))</f>
        <v>966.17700000000002</v>
      </c>
      <c r="H214" s="19">
        <f t="shared" si="107"/>
        <v>2</v>
      </c>
      <c r="I214" s="19">
        <v>1.8</v>
      </c>
      <c r="J214" s="36">
        <f>'Flow Rate Calculations'!$B$7</f>
        <v>4.0831050228310497</v>
      </c>
      <c r="K214" s="36">
        <f t="shared" si="97"/>
        <v>1.6045588828318709</v>
      </c>
      <c r="L214" s="37">
        <f>$I214*$K214/'Calculation Constants'!$B$7</f>
        <v>2555934.503625989</v>
      </c>
      <c r="M214" s="37" t="str">
        <f t="shared" si="83"/>
        <v>Greater Dynamic Pressures</v>
      </c>
      <c r="N214" s="23">
        <f t="shared" si="98"/>
        <v>169.66459195102573</v>
      </c>
      <c r="O214" s="56">
        <f t="shared" si="84"/>
        <v>153.38947543010261</v>
      </c>
      <c r="P214" s="65">
        <f>MAX(I214*1000/'Calculation Constants'!$B$14,O214*10*I214*1000/2/('Calculation Constants'!$B$12*1000*'Calculation Constants'!$B$13))</f>
        <v>11.25</v>
      </c>
      <c r="Q214" s="67">
        <f t="shared" si="85"/>
        <v>992548.40161508287</v>
      </c>
      <c r="R214" s="27">
        <f>(1/(2*LOG(3.7*$I214/'Calculation Constants'!$B$2*1000)))^2</f>
        <v>8.7463077071963571E-3</v>
      </c>
      <c r="S214" s="19">
        <f t="shared" si="99"/>
        <v>1.2752477269849725</v>
      </c>
      <c r="T214" s="19">
        <f>IF($H214&gt;0,'Calculation Constants'!$B$9*Hydraulics!$K214^2/2/9.81/MAX($F$4:$F$253)*$H214,"")</f>
        <v>7.8734226558858159E-2</v>
      </c>
      <c r="U214" s="19">
        <f t="shared" si="100"/>
        <v>1.3539819535438307</v>
      </c>
      <c r="V214" s="19">
        <f t="shared" si="86"/>
        <v>0</v>
      </c>
      <c r="W214" s="19">
        <f t="shared" si="87"/>
        <v>169.66459195102573</v>
      </c>
      <c r="X214" s="23">
        <f t="shared" si="88"/>
        <v>1135.8415919510257</v>
      </c>
      <c r="Y214" s="22">
        <f>(1/(2*LOG(3.7*$I214/'Calculation Constants'!$B$3*1000)))^2</f>
        <v>9.8211436332891755E-3</v>
      </c>
      <c r="Z214" s="19">
        <f t="shared" si="89"/>
        <v>1.431963236834217</v>
      </c>
      <c r="AA214" s="19">
        <f>IF($H214&gt;0,'Calculation Constants'!$B$9*Hydraulics!$K214^2/2/9.81/MAX($F$4:$F$253)*$H214,"")</f>
        <v>7.8734226558858159E-2</v>
      </c>
      <c r="AB214" s="19">
        <f t="shared" si="108"/>
        <v>1.5106974633930752</v>
      </c>
      <c r="AC214" s="19">
        <f t="shared" si="90"/>
        <v>0</v>
      </c>
      <c r="AD214" s="19">
        <f t="shared" si="101"/>
        <v>153.38947543010261</v>
      </c>
      <c r="AE214" s="23">
        <f t="shared" si="91"/>
        <v>1119.5664754301026</v>
      </c>
      <c r="AF214" s="27">
        <f>(1/(2*LOG(3.7*$I214/'Calculation Constants'!$B$4*1000)))^2</f>
        <v>1.1575055557914658E-2</v>
      </c>
      <c r="AG214" s="19">
        <f t="shared" si="92"/>
        <v>1.6876908272744866</v>
      </c>
      <c r="AH214" s="19">
        <f>IF($H214&gt;0,'Calculation Constants'!$B$9*Hydraulics!$K214^2/2/9.81/MAX($F$4:$F$253)*$H214,"")</f>
        <v>7.8734226558858159E-2</v>
      </c>
      <c r="AI214" s="19">
        <f t="shared" si="102"/>
        <v>1.7664250538333448</v>
      </c>
      <c r="AJ214" s="19">
        <f t="shared" si="93"/>
        <v>0</v>
      </c>
      <c r="AK214" s="19">
        <f t="shared" si="103"/>
        <v>126.88449967773352</v>
      </c>
      <c r="AL214" s="23">
        <f t="shared" si="94"/>
        <v>1093.0614996777335</v>
      </c>
      <c r="AM214" s="22">
        <f>(1/(2*LOG(3.7*($I214-0.008)/'Calculation Constants'!$B$5*1000)))^2</f>
        <v>1.4709705891825043E-2</v>
      </c>
      <c r="AN214" s="19">
        <f t="shared" si="104"/>
        <v>2.1543104841910781</v>
      </c>
      <c r="AO214" s="19">
        <f>IF($H214&gt;0,'Calculation Constants'!$B$9*Hydraulics!$K214^2/2/9.81/MAX($F$4:$F$253)*$H214,"")</f>
        <v>7.8734226558858159E-2</v>
      </c>
      <c r="AP214" s="19">
        <f t="shared" si="105"/>
        <v>2.2330447107499363</v>
      </c>
      <c r="AQ214" s="19">
        <f t="shared" si="95"/>
        <v>0</v>
      </c>
      <c r="AR214" s="19">
        <f t="shared" si="106"/>
        <v>78.783846284197921</v>
      </c>
      <c r="AS214" s="23">
        <f t="shared" si="96"/>
        <v>1044.9608462841979</v>
      </c>
    </row>
    <row r="215" spans="5:45">
      <c r="E215" s="35" t="str">
        <f t="shared" si="82"/>
        <v/>
      </c>
      <c r="F215" s="19">
        <f>'Profile data'!A215</f>
        <v>424</v>
      </c>
      <c r="G215" s="19">
        <f>VLOOKUP(F215,'Profile data'!A215:C474,IF($B$22="Botswana 1",2,3))</f>
        <v>973.82500000000005</v>
      </c>
      <c r="H215" s="19">
        <f t="shared" si="107"/>
        <v>2</v>
      </c>
      <c r="I215" s="19">
        <v>1.8</v>
      </c>
      <c r="J215" s="36">
        <f>'Flow Rate Calculations'!$B$7</f>
        <v>4.0831050228310497</v>
      </c>
      <c r="K215" s="36">
        <f t="shared" si="97"/>
        <v>1.6045588828318709</v>
      </c>
      <c r="L215" s="37">
        <f>$I215*$K215/'Calculation Constants'!$B$7</f>
        <v>2555934.503625989</v>
      </c>
      <c r="M215" s="37" t="str">
        <f t="shared" si="83"/>
        <v>Greater Dynamic Pressures</v>
      </c>
      <c r="N215" s="23">
        <f t="shared" si="98"/>
        <v>160.66260999748192</v>
      </c>
      <c r="O215" s="56">
        <f t="shared" si="84"/>
        <v>144.23077796670941</v>
      </c>
      <c r="P215" s="65">
        <f>MAX(I215*1000/'Calculation Constants'!$B$14,O215*10*I215*1000/2/('Calculation Constants'!$B$12*1000*'Calculation Constants'!$B$13))</f>
        <v>11.25</v>
      </c>
      <c r="Q215" s="67">
        <f t="shared" si="85"/>
        <v>992548.40161508287</v>
      </c>
      <c r="R215" s="27">
        <f>(1/(2*LOG(3.7*$I215/'Calculation Constants'!$B$2*1000)))^2</f>
        <v>8.7463077071963571E-3</v>
      </c>
      <c r="S215" s="19">
        <f t="shared" si="99"/>
        <v>1.2752477269849725</v>
      </c>
      <c r="T215" s="19">
        <f>IF($H215&gt;0,'Calculation Constants'!$B$9*Hydraulics!$K215^2/2/9.81/MAX($F$4:$F$253)*$H215,"")</f>
        <v>7.8734226558858159E-2</v>
      </c>
      <c r="U215" s="19">
        <f t="shared" si="100"/>
        <v>1.3539819535438307</v>
      </c>
      <c r="V215" s="19">
        <f t="shared" si="86"/>
        <v>0</v>
      </c>
      <c r="W215" s="19">
        <f t="shared" si="87"/>
        <v>160.66260999748192</v>
      </c>
      <c r="X215" s="23">
        <f t="shared" si="88"/>
        <v>1134.487609997482</v>
      </c>
      <c r="Y215" s="22">
        <f>(1/(2*LOG(3.7*$I215/'Calculation Constants'!$B$3*1000)))^2</f>
        <v>9.8211436332891755E-3</v>
      </c>
      <c r="Z215" s="19">
        <f t="shared" si="89"/>
        <v>1.431963236834217</v>
      </c>
      <c r="AA215" s="19">
        <f>IF($H215&gt;0,'Calculation Constants'!$B$9*Hydraulics!$K215^2/2/9.81/MAX($F$4:$F$253)*$H215,"")</f>
        <v>7.8734226558858159E-2</v>
      </c>
      <c r="AB215" s="19">
        <f t="shared" si="108"/>
        <v>1.5106974633930752</v>
      </c>
      <c r="AC215" s="19">
        <f t="shared" si="90"/>
        <v>0</v>
      </c>
      <c r="AD215" s="19">
        <f t="shared" si="101"/>
        <v>144.23077796670941</v>
      </c>
      <c r="AE215" s="23">
        <f t="shared" si="91"/>
        <v>1118.0557779667095</v>
      </c>
      <c r="AF215" s="27">
        <f>(1/(2*LOG(3.7*$I215/'Calculation Constants'!$B$4*1000)))^2</f>
        <v>1.1575055557914658E-2</v>
      </c>
      <c r="AG215" s="19">
        <f t="shared" si="92"/>
        <v>1.6876908272744866</v>
      </c>
      <c r="AH215" s="19">
        <f>IF($H215&gt;0,'Calculation Constants'!$B$9*Hydraulics!$K215^2/2/9.81/MAX($F$4:$F$253)*$H215,"")</f>
        <v>7.8734226558858159E-2</v>
      </c>
      <c r="AI215" s="19">
        <f t="shared" si="102"/>
        <v>1.7664250538333448</v>
      </c>
      <c r="AJ215" s="19">
        <f t="shared" si="93"/>
        <v>0</v>
      </c>
      <c r="AK215" s="19">
        <f t="shared" si="103"/>
        <v>117.47007462390025</v>
      </c>
      <c r="AL215" s="23">
        <f t="shared" si="94"/>
        <v>1091.2950746239003</v>
      </c>
      <c r="AM215" s="22">
        <f>(1/(2*LOG(3.7*($I215-0.008)/'Calculation Constants'!$B$5*1000)))^2</f>
        <v>1.4709705891825043E-2</v>
      </c>
      <c r="AN215" s="19">
        <f t="shared" si="104"/>
        <v>2.1543104841910781</v>
      </c>
      <c r="AO215" s="19">
        <f>IF($H215&gt;0,'Calculation Constants'!$B$9*Hydraulics!$K215^2/2/9.81/MAX($F$4:$F$253)*$H215,"")</f>
        <v>7.8734226558858159E-2</v>
      </c>
      <c r="AP215" s="19">
        <f t="shared" si="105"/>
        <v>2.2330447107499363</v>
      </c>
      <c r="AQ215" s="19">
        <f t="shared" si="95"/>
        <v>0</v>
      </c>
      <c r="AR215" s="19">
        <f t="shared" si="106"/>
        <v>68.90280157344796</v>
      </c>
      <c r="AS215" s="23">
        <f t="shared" si="96"/>
        <v>1042.727801573448</v>
      </c>
    </row>
    <row r="216" spans="5:45">
      <c r="E216" s="35" t="str">
        <f t="shared" si="82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7"/>
        <v>2</v>
      </c>
      <c r="I216" s="19">
        <v>1.8</v>
      </c>
      <c r="J216" s="36">
        <f>'Flow Rate Calculations'!$B$7</f>
        <v>4.0831050228310497</v>
      </c>
      <c r="K216" s="36">
        <f t="shared" si="97"/>
        <v>1.6045588828318709</v>
      </c>
      <c r="L216" s="37">
        <f>$I216*$K216/'Calculation Constants'!$B$7</f>
        <v>2555934.503625989</v>
      </c>
      <c r="M216" s="37" t="str">
        <f t="shared" si="83"/>
        <v>Greater Dynamic Pressures</v>
      </c>
      <c r="N216" s="23">
        <f t="shared" si="98"/>
        <v>149.16162804393821</v>
      </c>
      <c r="O216" s="56">
        <f t="shared" si="84"/>
        <v>132.57308050331631</v>
      </c>
      <c r="P216" s="65">
        <f>MAX(I216*1000/'Calculation Constants'!$B$14,O216*10*I216*1000/2/('Calculation Constants'!$B$12*1000*'Calculation Constants'!$B$13))</f>
        <v>11.25</v>
      </c>
      <c r="Q216" s="67">
        <f t="shared" si="85"/>
        <v>992548.40161508287</v>
      </c>
      <c r="R216" s="27">
        <f>(1/(2*LOG(3.7*$I216/'Calculation Constants'!$B$2*1000)))^2</f>
        <v>8.7463077071963571E-3</v>
      </c>
      <c r="S216" s="19">
        <f t="shared" si="99"/>
        <v>1.2752477269849725</v>
      </c>
      <c r="T216" s="19">
        <f>IF($H216&gt;0,'Calculation Constants'!$B$9*Hydraulics!$K216^2/2/9.81/MAX($F$4:$F$253)*$H216,"")</f>
        <v>7.8734226558858159E-2</v>
      </c>
      <c r="U216" s="19">
        <f t="shared" si="100"/>
        <v>1.3539819535438307</v>
      </c>
      <c r="V216" s="19">
        <f t="shared" si="86"/>
        <v>0</v>
      </c>
      <c r="W216" s="19">
        <f t="shared" si="87"/>
        <v>149.16162804393821</v>
      </c>
      <c r="X216" s="23">
        <f t="shared" si="88"/>
        <v>1133.1336280439382</v>
      </c>
      <c r="Y216" s="22">
        <f>(1/(2*LOG(3.7*$I216/'Calculation Constants'!$B$3*1000)))^2</f>
        <v>9.8211436332891755E-3</v>
      </c>
      <c r="Z216" s="19">
        <f t="shared" si="89"/>
        <v>1.431963236834217</v>
      </c>
      <c r="AA216" s="19">
        <f>IF($H216&gt;0,'Calculation Constants'!$B$9*Hydraulics!$K216^2/2/9.81/MAX($F$4:$F$253)*$H216,"")</f>
        <v>7.8734226558858159E-2</v>
      </c>
      <c r="AB216" s="19">
        <f t="shared" si="108"/>
        <v>1.5106974633930752</v>
      </c>
      <c r="AC216" s="19">
        <f t="shared" si="90"/>
        <v>0</v>
      </c>
      <c r="AD216" s="19">
        <f t="shared" si="101"/>
        <v>132.57308050331631</v>
      </c>
      <c r="AE216" s="23">
        <f t="shared" si="91"/>
        <v>1116.5450805033163</v>
      </c>
      <c r="AF216" s="27">
        <f>(1/(2*LOG(3.7*$I216/'Calculation Constants'!$B$4*1000)))^2</f>
        <v>1.1575055557914658E-2</v>
      </c>
      <c r="AG216" s="19">
        <f t="shared" si="92"/>
        <v>1.6876908272744866</v>
      </c>
      <c r="AH216" s="19">
        <f>IF($H216&gt;0,'Calculation Constants'!$B$9*Hydraulics!$K216^2/2/9.81/MAX($F$4:$F$253)*$H216,"")</f>
        <v>7.8734226558858159E-2</v>
      </c>
      <c r="AI216" s="19">
        <f t="shared" si="102"/>
        <v>1.7664250538333448</v>
      </c>
      <c r="AJ216" s="19">
        <f t="shared" si="93"/>
        <v>0</v>
      </c>
      <c r="AK216" s="19">
        <f t="shared" si="103"/>
        <v>105.55664957006707</v>
      </c>
      <c r="AL216" s="23">
        <f t="shared" si="94"/>
        <v>1089.528649570067</v>
      </c>
      <c r="AM216" s="22">
        <f>(1/(2*LOG(3.7*($I216-0.008)/'Calculation Constants'!$B$5*1000)))^2</f>
        <v>1.4709705891825043E-2</v>
      </c>
      <c r="AN216" s="19">
        <f t="shared" si="104"/>
        <v>2.1543104841910781</v>
      </c>
      <c r="AO216" s="19">
        <f>IF($H216&gt;0,'Calculation Constants'!$B$9*Hydraulics!$K216^2/2/9.81/MAX($F$4:$F$253)*$H216,"")</f>
        <v>7.8734226558858159E-2</v>
      </c>
      <c r="AP216" s="19">
        <f t="shared" si="105"/>
        <v>2.2330447107499363</v>
      </c>
      <c r="AQ216" s="19">
        <f t="shared" si="95"/>
        <v>0</v>
      </c>
      <c r="AR216" s="19">
        <f t="shared" si="106"/>
        <v>56.522756862698088</v>
      </c>
      <c r="AS216" s="23">
        <f t="shared" si="96"/>
        <v>1040.4947568626981</v>
      </c>
    </row>
    <row r="217" spans="5:45">
      <c r="E217" s="35" t="str">
        <f t="shared" si="82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7"/>
        <v>2</v>
      </c>
      <c r="I217" s="19">
        <v>1.8</v>
      </c>
      <c r="J217" s="36">
        <f>'Flow Rate Calculations'!$B$7</f>
        <v>4.0831050228310497</v>
      </c>
      <c r="K217" s="36">
        <f t="shared" si="97"/>
        <v>1.6045588828318709</v>
      </c>
      <c r="L217" s="37">
        <f>$I217*$K217/'Calculation Constants'!$B$7</f>
        <v>2555934.503625989</v>
      </c>
      <c r="M217" s="37" t="str">
        <f t="shared" si="83"/>
        <v>Greater Dynamic Pressures</v>
      </c>
      <c r="N217" s="23">
        <f t="shared" si="98"/>
        <v>137.6836460903944</v>
      </c>
      <c r="O217" s="56">
        <f t="shared" si="84"/>
        <v>120.93838303992311</v>
      </c>
      <c r="P217" s="65">
        <f>MAX(I217*1000/'Calculation Constants'!$B$14,O217*10*I217*1000/2/('Calculation Constants'!$B$12*1000*'Calculation Constants'!$B$13))</f>
        <v>11.25</v>
      </c>
      <c r="Q217" s="67">
        <f t="shared" si="85"/>
        <v>992548.40161508287</v>
      </c>
      <c r="R217" s="27">
        <f>(1/(2*LOG(3.7*$I217/'Calculation Constants'!$B$2*1000)))^2</f>
        <v>8.7463077071963571E-3</v>
      </c>
      <c r="S217" s="19">
        <f t="shared" si="99"/>
        <v>1.2752477269849725</v>
      </c>
      <c r="T217" s="19">
        <f>IF($H217&gt;0,'Calculation Constants'!$B$9*Hydraulics!$K217^2/2/9.81/MAX($F$4:$F$253)*$H217,"")</f>
        <v>7.8734226558858159E-2</v>
      </c>
      <c r="U217" s="19">
        <f t="shared" si="100"/>
        <v>1.3539819535438307</v>
      </c>
      <c r="V217" s="19">
        <f t="shared" si="86"/>
        <v>0</v>
      </c>
      <c r="W217" s="19">
        <f t="shared" si="87"/>
        <v>137.6836460903944</v>
      </c>
      <c r="X217" s="23">
        <f t="shared" si="88"/>
        <v>1131.7796460903944</v>
      </c>
      <c r="Y217" s="22">
        <f>(1/(2*LOG(3.7*$I217/'Calculation Constants'!$B$3*1000)))^2</f>
        <v>9.8211436332891755E-3</v>
      </c>
      <c r="Z217" s="19">
        <f t="shared" si="89"/>
        <v>1.431963236834217</v>
      </c>
      <c r="AA217" s="19">
        <f>IF($H217&gt;0,'Calculation Constants'!$B$9*Hydraulics!$K217^2/2/9.81/MAX($F$4:$F$253)*$H217,"")</f>
        <v>7.8734226558858159E-2</v>
      </c>
      <c r="AB217" s="19">
        <f t="shared" si="108"/>
        <v>1.5106974633930752</v>
      </c>
      <c r="AC217" s="19">
        <f t="shared" si="90"/>
        <v>0</v>
      </c>
      <c r="AD217" s="19">
        <f t="shared" si="101"/>
        <v>120.93838303992311</v>
      </c>
      <c r="AE217" s="23">
        <f t="shared" si="91"/>
        <v>1115.0343830399231</v>
      </c>
      <c r="AF217" s="27">
        <f>(1/(2*LOG(3.7*$I217/'Calculation Constants'!$B$4*1000)))^2</f>
        <v>1.1575055557914658E-2</v>
      </c>
      <c r="AG217" s="19">
        <f t="shared" si="92"/>
        <v>1.6876908272744866</v>
      </c>
      <c r="AH217" s="19">
        <f>IF($H217&gt;0,'Calculation Constants'!$B$9*Hydraulics!$K217^2/2/9.81/MAX($F$4:$F$253)*$H217,"")</f>
        <v>7.8734226558858159E-2</v>
      </c>
      <c r="AI217" s="19">
        <f t="shared" si="102"/>
        <v>1.7664250538333448</v>
      </c>
      <c r="AJ217" s="19">
        <f t="shared" si="93"/>
        <v>0</v>
      </c>
      <c r="AK217" s="19">
        <f t="shared" si="103"/>
        <v>93.666224516233797</v>
      </c>
      <c r="AL217" s="23">
        <f t="shared" si="94"/>
        <v>1087.7622245162338</v>
      </c>
      <c r="AM217" s="22">
        <f>(1/(2*LOG(3.7*($I217-0.008)/'Calculation Constants'!$B$5*1000)))^2</f>
        <v>1.4709705891825043E-2</v>
      </c>
      <c r="AN217" s="19">
        <f t="shared" si="104"/>
        <v>2.1543104841910781</v>
      </c>
      <c r="AO217" s="19">
        <f>IF($H217&gt;0,'Calculation Constants'!$B$9*Hydraulics!$K217^2/2/9.81/MAX($F$4:$F$253)*$H217,"")</f>
        <v>7.8734226558858159E-2</v>
      </c>
      <c r="AP217" s="19">
        <f t="shared" si="105"/>
        <v>2.2330447107499363</v>
      </c>
      <c r="AQ217" s="19">
        <f t="shared" si="95"/>
        <v>0</v>
      </c>
      <c r="AR217" s="19">
        <f t="shared" si="106"/>
        <v>44.165712151948128</v>
      </c>
      <c r="AS217" s="23">
        <f t="shared" si="96"/>
        <v>1038.2617121519481</v>
      </c>
    </row>
    <row r="218" spans="5:45">
      <c r="E218" s="35" t="str">
        <f t="shared" si="82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7"/>
        <v>2</v>
      </c>
      <c r="I218" s="19">
        <v>1.8</v>
      </c>
      <c r="J218" s="36">
        <f>'Flow Rate Calculations'!$B$7</f>
        <v>4.0831050228310497</v>
      </c>
      <c r="K218" s="36">
        <f t="shared" si="97"/>
        <v>1.6045588828318709</v>
      </c>
      <c r="L218" s="37">
        <f>$I218*$K218/'Calculation Constants'!$B$7</f>
        <v>2555934.503625989</v>
      </c>
      <c r="M218" s="37" t="str">
        <f t="shared" si="83"/>
        <v>Greater Dynamic Pressures</v>
      </c>
      <c r="N218" s="23">
        <f t="shared" si="98"/>
        <v>138.73066413685058</v>
      </c>
      <c r="O218" s="56">
        <f t="shared" si="84"/>
        <v>121.82868557652989</v>
      </c>
      <c r="P218" s="65">
        <f>MAX(I218*1000/'Calculation Constants'!$B$14,O218*10*I218*1000/2/('Calculation Constants'!$B$12*1000*'Calculation Constants'!$B$13))</f>
        <v>11.25</v>
      </c>
      <c r="Q218" s="67">
        <f t="shared" si="85"/>
        <v>992548.40161508287</v>
      </c>
      <c r="R218" s="27">
        <f>(1/(2*LOG(3.7*$I218/'Calculation Constants'!$B$2*1000)))^2</f>
        <v>8.7463077071963571E-3</v>
      </c>
      <c r="S218" s="19">
        <f t="shared" si="99"/>
        <v>1.2752477269849725</v>
      </c>
      <c r="T218" s="19">
        <f>IF($H218&gt;0,'Calculation Constants'!$B$9*Hydraulics!$K218^2/2/9.81/MAX($F$4:$F$253)*$H218,"")</f>
        <v>7.8734226558858159E-2</v>
      </c>
      <c r="U218" s="19">
        <f t="shared" si="100"/>
        <v>1.3539819535438307</v>
      </c>
      <c r="V218" s="19">
        <f t="shared" si="86"/>
        <v>0</v>
      </c>
      <c r="W218" s="19">
        <f t="shared" si="87"/>
        <v>138.73066413685058</v>
      </c>
      <c r="X218" s="23">
        <f t="shared" si="88"/>
        <v>1130.4256641368506</v>
      </c>
      <c r="Y218" s="22">
        <f>(1/(2*LOG(3.7*$I218/'Calculation Constants'!$B$3*1000)))^2</f>
        <v>9.8211436332891755E-3</v>
      </c>
      <c r="Z218" s="19">
        <f t="shared" si="89"/>
        <v>1.431963236834217</v>
      </c>
      <c r="AA218" s="19">
        <f>IF($H218&gt;0,'Calculation Constants'!$B$9*Hydraulics!$K218^2/2/9.81/MAX($F$4:$F$253)*$H218,"")</f>
        <v>7.8734226558858159E-2</v>
      </c>
      <c r="AB218" s="19">
        <f t="shared" si="108"/>
        <v>1.5106974633930752</v>
      </c>
      <c r="AC218" s="19">
        <f t="shared" si="90"/>
        <v>0</v>
      </c>
      <c r="AD218" s="19">
        <f t="shared" si="101"/>
        <v>121.82868557652989</v>
      </c>
      <c r="AE218" s="23">
        <f t="shared" si="91"/>
        <v>1113.5236855765299</v>
      </c>
      <c r="AF218" s="27">
        <f>(1/(2*LOG(3.7*$I218/'Calculation Constants'!$B$4*1000)))^2</f>
        <v>1.1575055557914658E-2</v>
      </c>
      <c r="AG218" s="19">
        <f t="shared" si="92"/>
        <v>1.6876908272744866</v>
      </c>
      <c r="AH218" s="19">
        <f>IF($H218&gt;0,'Calculation Constants'!$B$9*Hydraulics!$K218^2/2/9.81/MAX($F$4:$F$253)*$H218,"")</f>
        <v>7.8734226558858159E-2</v>
      </c>
      <c r="AI218" s="19">
        <f t="shared" si="102"/>
        <v>1.7664250538333448</v>
      </c>
      <c r="AJ218" s="19">
        <f t="shared" si="93"/>
        <v>0</v>
      </c>
      <c r="AK218" s="19">
        <f t="shared" si="103"/>
        <v>94.300799462400505</v>
      </c>
      <c r="AL218" s="23">
        <f t="shared" si="94"/>
        <v>1085.9957994624006</v>
      </c>
      <c r="AM218" s="22">
        <f>(1/(2*LOG(3.7*($I218-0.008)/'Calculation Constants'!$B$5*1000)))^2</f>
        <v>1.4709705891825043E-2</v>
      </c>
      <c r="AN218" s="19">
        <f t="shared" si="104"/>
        <v>2.1543104841910781</v>
      </c>
      <c r="AO218" s="19">
        <f>IF($H218&gt;0,'Calculation Constants'!$B$9*Hydraulics!$K218^2/2/9.81/MAX($F$4:$F$253)*$H218,"")</f>
        <v>7.8734226558858159E-2</v>
      </c>
      <c r="AP218" s="19">
        <f t="shared" si="105"/>
        <v>2.2330447107499363</v>
      </c>
      <c r="AQ218" s="19">
        <f t="shared" si="95"/>
        <v>0</v>
      </c>
      <c r="AR218" s="19">
        <f t="shared" si="106"/>
        <v>44.333667441198145</v>
      </c>
      <c r="AS218" s="23">
        <f t="shared" si="96"/>
        <v>1036.0286674411982</v>
      </c>
    </row>
    <row r="219" spans="5:45">
      <c r="E219" s="35" t="str">
        <f t="shared" si="82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7"/>
        <v>2</v>
      </c>
      <c r="I219" s="19">
        <v>1.8</v>
      </c>
      <c r="J219" s="36">
        <f>'Flow Rate Calculations'!$B$7</f>
        <v>4.0831050228310497</v>
      </c>
      <c r="K219" s="36">
        <f t="shared" si="97"/>
        <v>1.6045588828318709</v>
      </c>
      <c r="L219" s="37">
        <f>$I219*$K219/'Calculation Constants'!$B$7</f>
        <v>2555934.503625989</v>
      </c>
      <c r="M219" s="37" t="str">
        <f t="shared" si="83"/>
        <v>Greater Dynamic Pressures</v>
      </c>
      <c r="N219" s="23">
        <f t="shared" si="98"/>
        <v>144.13868218330686</v>
      </c>
      <c r="O219" s="56">
        <f t="shared" si="84"/>
        <v>127.07998811313678</v>
      </c>
      <c r="P219" s="65">
        <f>MAX(I219*1000/'Calculation Constants'!$B$14,O219*10*I219*1000/2/('Calculation Constants'!$B$12*1000*'Calculation Constants'!$B$13))</f>
        <v>11.25</v>
      </c>
      <c r="Q219" s="67">
        <f t="shared" si="85"/>
        <v>992548.40161508287</v>
      </c>
      <c r="R219" s="27">
        <f>(1/(2*LOG(3.7*$I219/'Calculation Constants'!$B$2*1000)))^2</f>
        <v>8.7463077071963571E-3</v>
      </c>
      <c r="S219" s="19">
        <f t="shared" si="99"/>
        <v>1.2752477269849725</v>
      </c>
      <c r="T219" s="19">
        <f>IF($H219&gt;0,'Calculation Constants'!$B$9*Hydraulics!$K219^2/2/9.81/MAX($F$4:$F$253)*$H219,"")</f>
        <v>7.8734226558858159E-2</v>
      </c>
      <c r="U219" s="19">
        <f t="shared" si="100"/>
        <v>1.3539819535438307</v>
      </c>
      <c r="V219" s="19">
        <f t="shared" si="86"/>
        <v>0</v>
      </c>
      <c r="W219" s="19">
        <f t="shared" si="87"/>
        <v>144.13868218330686</v>
      </c>
      <c r="X219" s="23">
        <f t="shared" si="88"/>
        <v>1129.0716821833068</v>
      </c>
      <c r="Y219" s="22">
        <f>(1/(2*LOG(3.7*$I219/'Calculation Constants'!$B$3*1000)))^2</f>
        <v>9.8211436332891755E-3</v>
      </c>
      <c r="Z219" s="19">
        <f t="shared" si="89"/>
        <v>1.431963236834217</v>
      </c>
      <c r="AA219" s="19">
        <f>IF($H219&gt;0,'Calculation Constants'!$B$9*Hydraulics!$K219^2/2/9.81/MAX($F$4:$F$253)*$H219,"")</f>
        <v>7.8734226558858159E-2</v>
      </c>
      <c r="AB219" s="19">
        <f t="shared" si="108"/>
        <v>1.5106974633930752</v>
      </c>
      <c r="AC219" s="19">
        <f t="shared" si="90"/>
        <v>0</v>
      </c>
      <c r="AD219" s="19">
        <f t="shared" si="101"/>
        <v>127.07998811313678</v>
      </c>
      <c r="AE219" s="23">
        <f t="shared" si="91"/>
        <v>1112.0129881131368</v>
      </c>
      <c r="AF219" s="27">
        <f>(1/(2*LOG(3.7*$I219/'Calculation Constants'!$B$4*1000)))^2</f>
        <v>1.1575055557914658E-2</v>
      </c>
      <c r="AG219" s="19">
        <f t="shared" si="92"/>
        <v>1.6876908272744866</v>
      </c>
      <c r="AH219" s="19">
        <f>IF($H219&gt;0,'Calculation Constants'!$B$9*Hydraulics!$K219^2/2/9.81/MAX($F$4:$F$253)*$H219,"")</f>
        <v>7.8734226558858159E-2</v>
      </c>
      <c r="AI219" s="19">
        <f t="shared" si="102"/>
        <v>1.7664250538333448</v>
      </c>
      <c r="AJ219" s="19">
        <f t="shared" si="93"/>
        <v>0</v>
      </c>
      <c r="AK219" s="19">
        <f t="shared" si="103"/>
        <v>99.296374408567317</v>
      </c>
      <c r="AL219" s="23">
        <f t="shared" si="94"/>
        <v>1084.2293744085673</v>
      </c>
      <c r="AM219" s="22">
        <f>(1/(2*LOG(3.7*($I219-0.008)/'Calculation Constants'!$B$5*1000)))^2</f>
        <v>1.4709705891825043E-2</v>
      </c>
      <c r="AN219" s="19">
        <f t="shared" si="104"/>
        <v>2.1543104841910781</v>
      </c>
      <c r="AO219" s="19">
        <f>IF($H219&gt;0,'Calculation Constants'!$B$9*Hydraulics!$K219^2/2/9.81/MAX($F$4:$F$253)*$H219,"")</f>
        <v>7.8734226558858159E-2</v>
      </c>
      <c r="AP219" s="19">
        <f t="shared" si="105"/>
        <v>2.2330447107499363</v>
      </c>
      <c r="AQ219" s="19">
        <f t="shared" si="95"/>
        <v>0</v>
      </c>
      <c r="AR219" s="19">
        <f t="shared" si="106"/>
        <v>48.862622730448265</v>
      </c>
      <c r="AS219" s="23">
        <f t="shared" si="96"/>
        <v>1033.7956227304483</v>
      </c>
    </row>
    <row r="220" spans="5:45">
      <c r="E220" s="35" t="str">
        <f t="shared" si="82"/>
        <v/>
      </c>
      <c r="F220" s="19">
        <f>'Profile data'!A220</f>
        <v>434</v>
      </c>
      <c r="G220" s="19">
        <f>VLOOKUP(F220,'Profile data'!A220:C479,IF($B$22="Botswana 1",2,3))</f>
        <v>974.50900000000001</v>
      </c>
      <c r="H220" s="19">
        <f t="shared" si="107"/>
        <v>2</v>
      </c>
      <c r="I220" s="19">
        <v>1.8</v>
      </c>
      <c r="J220" s="36">
        <f>'Flow Rate Calculations'!$B$7</f>
        <v>4.0831050228310497</v>
      </c>
      <c r="K220" s="36">
        <f t="shared" si="97"/>
        <v>1.6045588828318709</v>
      </c>
      <c r="L220" s="37">
        <f>$I220*$K220/'Calculation Constants'!$B$7</f>
        <v>2555934.503625989</v>
      </c>
      <c r="M220" s="37" t="str">
        <f t="shared" si="83"/>
        <v>Greater Dynamic Pressures</v>
      </c>
      <c r="N220" s="23">
        <f t="shared" si="98"/>
        <v>153.20870022976305</v>
      </c>
      <c r="O220" s="56">
        <f t="shared" si="84"/>
        <v>135.99329064974359</v>
      </c>
      <c r="P220" s="65">
        <f>MAX(I220*1000/'Calculation Constants'!$B$14,O220*10*I220*1000/2/('Calculation Constants'!$B$12*1000*'Calculation Constants'!$B$13))</f>
        <v>11.25</v>
      </c>
      <c r="Q220" s="67">
        <f t="shared" si="85"/>
        <v>992548.40161508287</v>
      </c>
      <c r="R220" s="27">
        <f>(1/(2*LOG(3.7*$I220/'Calculation Constants'!$B$2*1000)))^2</f>
        <v>8.7463077071963571E-3</v>
      </c>
      <c r="S220" s="19">
        <f t="shared" si="99"/>
        <v>1.2752477269849725</v>
      </c>
      <c r="T220" s="19">
        <f>IF($H220&gt;0,'Calculation Constants'!$B$9*Hydraulics!$K220^2/2/9.81/MAX($F$4:$F$253)*$H220,"")</f>
        <v>7.8734226558858159E-2</v>
      </c>
      <c r="U220" s="19">
        <f t="shared" si="100"/>
        <v>1.3539819535438307</v>
      </c>
      <c r="V220" s="19">
        <f t="shared" si="86"/>
        <v>0</v>
      </c>
      <c r="W220" s="19">
        <f t="shared" si="87"/>
        <v>153.20870022976305</v>
      </c>
      <c r="X220" s="23">
        <f t="shared" si="88"/>
        <v>1127.7177002297631</v>
      </c>
      <c r="Y220" s="22">
        <f>(1/(2*LOG(3.7*$I220/'Calculation Constants'!$B$3*1000)))^2</f>
        <v>9.8211436332891755E-3</v>
      </c>
      <c r="Z220" s="19">
        <f t="shared" si="89"/>
        <v>1.431963236834217</v>
      </c>
      <c r="AA220" s="19">
        <f>IF($H220&gt;0,'Calculation Constants'!$B$9*Hydraulics!$K220^2/2/9.81/MAX($F$4:$F$253)*$H220,"")</f>
        <v>7.8734226558858159E-2</v>
      </c>
      <c r="AB220" s="19">
        <f t="shared" si="108"/>
        <v>1.5106974633930752</v>
      </c>
      <c r="AC220" s="19">
        <f t="shared" si="90"/>
        <v>0</v>
      </c>
      <c r="AD220" s="19">
        <f t="shared" si="101"/>
        <v>135.99329064974359</v>
      </c>
      <c r="AE220" s="23">
        <f t="shared" si="91"/>
        <v>1110.5022906497436</v>
      </c>
      <c r="AF220" s="27">
        <f>(1/(2*LOG(3.7*$I220/'Calculation Constants'!$B$4*1000)))^2</f>
        <v>1.1575055557914658E-2</v>
      </c>
      <c r="AG220" s="19">
        <f t="shared" si="92"/>
        <v>1.6876908272744866</v>
      </c>
      <c r="AH220" s="19">
        <f>IF($H220&gt;0,'Calculation Constants'!$B$9*Hydraulics!$K220^2/2/9.81/MAX($F$4:$F$253)*$H220,"")</f>
        <v>7.8734226558858159E-2</v>
      </c>
      <c r="AI220" s="19">
        <f t="shared" si="102"/>
        <v>1.7664250538333448</v>
      </c>
      <c r="AJ220" s="19">
        <f t="shared" si="93"/>
        <v>0</v>
      </c>
      <c r="AK220" s="19">
        <f t="shared" si="103"/>
        <v>107.95394935473405</v>
      </c>
      <c r="AL220" s="23">
        <f t="shared" si="94"/>
        <v>1082.4629493547341</v>
      </c>
      <c r="AM220" s="22">
        <f>(1/(2*LOG(3.7*($I220-0.008)/'Calculation Constants'!$B$5*1000)))^2</f>
        <v>1.4709705891825043E-2</v>
      </c>
      <c r="AN220" s="19">
        <f t="shared" si="104"/>
        <v>2.1543104841910781</v>
      </c>
      <c r="AO220" s="19">
        <f>IF($H220&gt;0,'Calculation Constants'!$B$9*Hydraulics!$K220^2/2/9.81/MAX($F$4:$F$253)*$H220,"")</f>
        <v>7.8734226558858159E-2</v>
      </c>
      <c r="AP220" s="19">
        <f t="shared" si="105"/>
        <v>2.2330447107499363</v>
      </c>
      <c r="AQ220" s="19">
        <f t="shared" si="95"/>
        <v>0</v>
      </c>
      <c r="AR220" s="19">
        <f t="shared" si="106"/>
        <v>57.053578019698307</v>
      </c>
      <c r="AS220" s="23">
        <f t="shared" si="96"/>
        <v>1031.5625780196983</v>
      </c>
    </row>
    <row r="221" spans="5:45">
      <c r="E221" s="35" t="str">
        <f t="shared" si="82"/>
        <v/>
      </c>
      <c r="F221" s="19">
        <f>'Profile data'!A221</f>
        <v>436</v>
      </c>
      <c r="G221" s="19">
        <f>VLOOKUP(F221,'Profile data'!A221:C480,IF($B$22="Botswana 1",2,3))</f>
        <v>966.69799999999998</v>
      </c>
      <c r="H221" s="19">
        <f t="shared" si="107"/>
        <v>2</v>
      </c>
      <c r="I221" s="19">
        <v>1.8</v>
      </c>
      <c r="J221" s="36">
        <f>'Flow Rate Calculations'!$B$7</f>
        <v>4.0831050228310497</v>
      </c>
      <c r="K221" s="36">
        <f t="shared" si="97"/>
        <v>1.6045588828318709</v>
      </c>
      <c r="L221" s="37">
        <f>$I221*$K221/'Calculation Constants'!$B$7</f>
        <v>2555934.503625989</v>
      </c>
      <c r="M221" s="37" t="str">
        <f t="shared" si="83"/>
        <v>Greater Dynamic Pressures</v>
      </c>
      <c r="N221" s="23">
        <f t="shared" si="98"/>
        <v>159.66571827621931</v>
      </c>
      <c r="O221" s="56">
        <f t="shared" si="84"/>
        <v>142.29359318635045</v>
      </c>
      <c r="P221" s="65">
        <f>MAX(I221*1000/'Calculation Constants'!$B$14,O221*10*I221*1000/2/('Calculation Constants'!$B$12*1000*'Calculation Constants'!$B$13))</f>
        <v>11.25</v>
      </c>
      <c r="Q221" s="67">
        <f t="shared" si="85"/>
        <v>992548.40161508287</v>
      </c>
      <c r="R221" s="27">
        <f>(1/(2*LOG(3.7*$I221/'Calculation Constants'!$B$2*1000)))^2</f>
        <v>8.7463077071963571E-3</v>
      </c>
      <c r="S221" s="19">
        <f t="shared" si="99"/>
        <v>1.2752477269849725</v>
      </c>
      <c r="T221" s="19">
        <f>IF($H221&gt;0,'Calculation Constants'!$B$9*Hydraulics!$K221^2/2/9.81/MAX($F$4:$F$253)*$H221,"")</f>
        <v>7.8734226558858159E-2</v>
      </c>
      <c r="U221" s="19">
        <f t="shared" si="100"/>
        <v>1.3539819535438307</v>
      </c>
      <c r="V221" s="19">
        <f t="shared" si="86"/>
        <v>0</v>
      </c>
      <c r="W221" s="19">
        <f t="shared" si="87"/>
        <v>159.66571827621931</v>
      </c>
      <c r="X221" s="23">
        <f t="shared" si="88"/>
        <v>1126.3637182762193</v>
      </c>
      <c r="Y221" s="22">
        <f>(1/(2*LOG(3.7*$I221/'Calculation Constants'!$B$3*1000)))^2</f>
        <v>9.8211436332891755E-3</v>
      </c>
      <c r="Z221" s="19">
        <f t="shared" si="89"/>
        <v>1.431963236834217</v>
      </c>
      <c r="AA221" s="19">
        <f>IF($H221&gt;0,'Calculation Constants'!$B$9*Hydraulics!$K221^2/2/9.81/MAX($F$4:$F$253)*$H221,"")</f>
        <v>7.8734226558858159E-2</v>
      </c>
      <c r="AB221" s="19">
        <f t="shared" si="108"/>
        <v>1.5106974633930752</v>
      </c>
      <c r="AC221" s="19">
        <f t="shared" si="90"/>
        <v>0</v>
      </c>
      <c r="AD221" s="19">
        <f t="shared" si="101"/>
        <v>142.29359318635045</v>
      </c>
      <c r="AE221" s="23">
        <f t="shared" si="91"/>
        <v>1108.9915931863504</v>
      </c>
      <c r="AF221" s="27">
        <f>(1/(2*LOG(3.7*$I221/'Calculation Constants'!$B$4*1000)))^2</f>
        <v>1.1575055557914658E-2</v>
      </c>
      <c r="AG221" s="19">
        <f t="shared" si="92"/>
        <v>1.6876908272744866</v>
      </c>
      <c r="AH221" s="19">
        <f>IF($H221&gt;0,'Calculation Constants'!$B$9*Hydraulics!$K221^2/2/9.81/MAX($F$4:$F$253)*$H221,"")</f>
        <v>7.8734226558858159E-2</v>
      </c>
      <c r="AI221" s="19">
        <f t="shared" si="102"/>
        <v>1.7664250538333448</v>
      </c>
      <c r="AJ221" s="19">
        <f t="shared" si="93"/>
        <v>0</v>
      </c>
      <c r="AK221" s="19">
        <f t="shared" si="103"/>
        <v>113.99852430090084</v>
      </c>
      <c r="AL221" s="23">
        <f t="shared" si="94"/>
        <v>1080.6965243009008</v>
      </c>
      <c r="AM221" s="22">
        <f>(1/(2*LOG(3.7*($I221-0.008)/'Calculation Constants'!$B$5*1000)))^2</f>
        <v>1.4709705891825043E-2</v>
      </c>
      <c r="AN221" s="19">
        <f t="shared" si="104"/>
        <v>2.1543104841910781</v>
      </c>
      <c r="AO221" s="19">
        <f>IF($H221&gt;0,'Calculation Constants'!$B$9*Hydraulics!$K221^2/2/9.81/MAX($F$4:$F$253)*$H221,"")</f>
        <v>7.8734226558858159E-2</v>
      </c>
      <c r="AP221" s="19">
        <f t="shared" si="105"/>
        <v>2.2330447107499363</v>
      </c>
      <c r="AQ221" s="19">
        <f t="shared" si="95"/>
        <v>0</v>
      </c>
      <c r="AR221" s="19">
        <f t="shared" si="106"/>
        <v>62.631533308948406</v>
      </c>
      <c r="AS221" s="23">
        <f t="shared" si="96"/>
        <v>1029.3295333089484</v>
      </c>
    </row>
    <row r="222" spans="5:45">
      <c r="E222" s="35" t="str">
        <f t="shared" si="82"/>
        <v/>
      </c>
      <c r="F222" s="19">
        <f>'Profile data'!A222</f>
        <v>438</v>
      </c>
      <c r="G222" s="19">
        <f>VLOOKUP(F222,'Profile data'!A222:C481,IF($B$22="Botswana 1",2,3))</f>
        <v>963.61800000000005</v>
      </c>
      <c r="H222" s="19">
        <f t="shared" si="107"/>
        <v>2</v>
      </c>
      <c r="I222" s="19">
        <v>1.8</v>
      </c>
      <c r="J222" s="36">
        <f>'Flow Rate Calculations'!$B$7</f>
        <v>4.0831050228310497</v>
      </c>
      <c r="K222" s="36">
        <f t="shared" si="97"/>
        <v>1.6045588828318709</v>
      </c>
      <c r="L222" s="37">
        <f>$I222*$K222/'Calculation Constants'!$B$7</f>
        <v>2555934.503625989</v>
      </c>
      <c r="M222" s="37" t="str">
        <f t="shared" si="83"/>
        <v>Greater Dynamic Pressures</v>
      </c>
      <c r="N222" s="23">
        <f t="shared" si="98"/>
        <v>161.39173632267546</v>
      </c>
      <c r="O222" s="56">
        <f t="shared" si="84"/>
        <v>143.86289572295721</v>
      </c>
      <c r="P222" s="65">
        <f>MAX(I222*1000/'Calculation Constants'!$B$14,O222*10*I222*1000/2/('Calculation Constants'!$B$12*1000*'Calculation Constants'!$B$13))</f>
        <v>11.25</v>
      </c>
      <c r="Q222" s="67">
        <f t="shared" si="85"/>
        <v>992548.40161508287</v>
      </c>
      <c r="R222" s="27">
        <f>(1/(2*LOG(3.7*$I222/'Calculation Constants'!$B$2*1000)))^2</f>
        <v>8.7463077071963571E-3</v>
      </c>
      <c r="S222" s="19">
        <f t="shared" si="99"/>
        <v>1.2752477269849725</v>
      </c>
      <c r="T222" s="19">
        <f>IF($H222&gt;0,'Calculation Constants'!$B$9*Hydraulics!$K222^2/2/9.81/MAX($F$4:$F$253)*$H222,"")</f>
        <v>7.8734226558858159E-2</v>
      </c>
      <c r="U222" s="19">
        <f t="shared" si="100"/>
        <v>1.3539819535438307</v>
      </c>
      <c r="V222" s="19">
        <f t="shared" si="86"/>
        <v>0</v>
      </c>
      <c r="W222" s="19">
        <f t="shared" si="87"/>
        <v>161.39173632267546</v>
      </c>
      <c r="X222" s="23">
        <f t="shared" si="88"/>
        <v>1125.0097363226755</v>
      </c>
      <c r="Y222" s="22">
        <f>(1/(2*LOG(3.7*$I222/'Calculation Constants'!$B$3*1000)))^2</f>
        <v>9.8211436332891755E-3</v>
      </c>
      <c r="Z222" s="19">
        <f t="shared" si="89"/>
        <v>1.431963236834217</v>
      </c>
      <c r="AA222" s="19">
        <f>IF($H222&gt;0,'Calculation Constants'!$B$9*Hydraulics!$K222^2/2/9.81/MAX($F$4:$F$253)*$H222,"")</f>
        <v>7.8734226558858159E-2</v>
      </c>
      <c r="AB222" s="19">
        <f t="shared" si="108"/>
        <v>1.5106974633930752</v>
      </c>
      <c r="AC222" s="19">
        <f t="shared" si="90"/>
        <v>0</v>
      </c>
      <c r="AD222" s="19">
        <f t="shared" si="101"/>
        <v>143.86289572295721</v>
      </c>
      <c r="AE222" s="23">
        <f t="shared" si="91"/>
        <v>1107.4808957229573</v>
      </c>
      <c r="AF222" s="27">
        <f>(1/(2*LOG(3.7*$I222/'Calculation Constants'!$B$4*1000)))^2</f>
        <v>1.1575055557914658E-2</v>
      </c>
      <c r="AG222" s="19">
        <f t="shared" si="92"/>
        <v>1.6876908272744866</v>
      </c>
      <c r="AH222" s="19">
        <f>IF($H222&gt;0,'Calculation Constants'!$B$9*Hydraulics!$K222^2/2/9.81/MAX($F$4:$F$253)*$H222,"")</f>
        <v>7.8734226558858159E-2</v>
      </c>
      <c r="AI222" s="19">
        <f t="shared" si="102"/>
        <v>1.7664250538333448</v>
      </c>
      <c r="AJ222" s="19">
        <f t="shared" si="93"/>
        <v>0</v>
      </c>
      <c r="AK222" s="19">
        <f t="shared" si="103"/>
        <v>115.31209924706752</v>
      </c>
      <c r="AL222" s="23">
        <f t="shared" si="94"/>
        <v>1078.9300992470676</v>
      </c>
      <c r="AM222" s="22">
        <f>(1/(2*LOG(3.7*($I222-0.008)/'Calculation Constants'!$B$5*1000)))^2</f>
        <v>1.4709705891825043E-2</v>
      </c>
      <c r="AN222" s="19">
        <f t="shared" si="104"/>
        <v>2.1543104841910781</v>
      </c>
      <c r="AO222" s="19">
        <f>IF($H222&gt;0,'Calculation Constants'!$B$9*Hydraulics!$K222^2/2/9.81/MAX($F$4:$F$253)*$H222,"")</f>
        <v>7.8734226558858159E-2</v>
      </c>
      <c r="AP222" s="19">
        <f t="shared" si="105"/>
        <v>2.2330447107499363</v>
      </c>
      <c r="AQ222" s="19">
        <f t="shared" si="95"/>
        <v>0</v>
      </c>
      <c r="AR222" s="19">
        <f t="shared" si="106"/>
        <v>63.478488598198396</v>
      </c>
      <c r="AS222" s="23">
        <f t="shared" si="96"/>
        <v>1027.0964885981984</v>
      </c>
    </row>
    <row r="223" spans="5:45">
      <c r="E223" s="35" t="str">
        <f t="shared" si="82"/>
        <v/>
      </c>
      <c r="F223" s="19">
        <f>'Profile data'!A223</f>
        <v>440</v>
      </c>
      <c r="G223" s="19">
        <f>VLOOKUP(F223,'Profile data'!A223:C482,IF($B$22="Botswana 1",2,3))</f>
        <v>957.803</v>
      </c>
      <c r="H223" s="19">
        <f t="shared" si="107"/>
        <v>2</v>
      </c>
      <c r="I223" s="19">
        <v>1.8</v>
      </c>
      <c r="J223" s="36">
        <f>'Flow Rate Calculations'!$B$7</f>
        <v>4.0831050228310497</v>
      </c>
      <c r="K223" s="36">
        <f t="shared" si="97"/>
        <v>1.6045588828318709</v>
      </c>
      <c r="L223" s="37">
        <f>$I223*$K223/'Calculation Constants'!$B$7</f>
        <v>2555934.503625989</v>
      </c>
      <c r="M223" s="37" t="str">
        <f t="shared" si="83"/>
        <v>Greater Dynamic Pressures</v>
      </c>
      <c r="N223" s="23">
        <f t="shared" si="98"/>
        <v>165.85275436913173</v>
      </c>
      <c r="O223" s="56">
        <f t="shared" si="84"/>
        <v>148.16719825956409</v>
      </c>
      <c r="P223" s="65">
        <f>MAX(I223*1000/'Calculation Constants'!$B$14,O223*10*I223*1000/2/('Calculation Constants'!$B$12*1000*'Calculation Constants'!$B$13))</f>
        <v>11.25</v>
      </c>
      <c r="Q223" s="67">
        <f t="shared" si="85"/>
        <v>992548.40161508287</v>
      </c>
      <c r="R223" s="27">
        <f>(1/(2*LOG(3.7*$I223/'Calculation Constants'!$B$2*1000)))^2</f>
        <v>8.7463077071963571E-3</v>
      </c>
      <c r="S223" s="19">
        <f t="shared" si="99"/>
        <v>1.2752477269849725</v>
      </c>
      <c r="T223" s="19">
        <f>IF($H223&gt;0,'Calculation Constants'!$B$9*Hydraulics!$K223^2/2/9.81/MAX($F$4:$F$253)*$H223,"")</f>
        <v>7.8734226558858159E-2</v>
      </c>
      <c r="U223" s="19">
        <f t="shared" si="100"/>
        <v>1.3539819535438307</v>
      </c>
      <c r="V223" s="19">
        <f t="shared" si="86"/>
        <v>0</v>
      </c>
      <c r="W223" s="19">
        <f t="shared" si="87"/>
        <v>165.85275436913173</v>
      </c>
      <c r="X223" s="23">
        <f t="shared" si="88"/>
        <v>1123.6557543691317</v>
      </c>
      <c r="Y223" s="22">
        <f>(1/(2*LOG(3.7*$I223/'Calculation Constants'!$B$3*1000)))^2</f>
        <v>9.8211436332891755E-3</v>
      </c>
      <c r="Z223" s="19">
        <f t="shared" si="89"/>
        <v>1.431963236834217</v>
      </c>
      <c r="AA223" s="19">
        <f>IF($H223&gt;0,'Calculation Constants'!$B$9*Hydraulics!$K223^2/2/9.81/MAX($F$4:$F$253)*$H223,"")</f>
        <v>7.8734226558858159E-2</v>
      </c>
      <c r="AB223" s="19">
        <f t="shared" si="108"/>
        <v>1.5106974633930752</v>
      </c>
      <c r="AC223" s="19">
        <f t="shared" si="90"/>
        <v>0</v>
      </c>
      <c r="AD223" s="19">
        <f t="shared" si="101"/>
        <v>148.16719825956409</v>
      </c>
      <c r="AE223" s="23">
        <f t="shared" si="91"/>
        <v>1105.9701982595641</v>
      </c>
      <c r="AF223" s="27">
        <f>(1/(2*LOG(3.7*$I223/'Calculation Constants'!$B$4*1000)))^2</f>
        <v>1.1575055557914658E-2</v>
      </c>
      <c r="AG223" s="19">
        <f t="shared" si="92"/>
        <v>1.6876908272744866</v>
      </c>
      <c r="AH223" s="19">
        <f>IF($H223&gt;0,'Calculation Constants'!$B$9*Hydraulics!$K223^2/2/9.81/MAX($F$4:$F$253)*$H223,"")</f>
        <v>7.8734226558858159E-2</v>
      </c>
      <c r="AI223" s="19">
        <f t="shared" si="102"/>
        <v>1.7664250538333448</v>
      </c>
      <c r="AJ223" s="19">
        <f t="shared" si="93"/>
        <v>0</v>
      </c>
      <c r="AK223" s="19">
        <f t="shared" si="103"/>
        <v>119.36067419323433</v>
      </c>
      <c r="AL223" s="23">
        <f t="shared" si="94"/>
        <v>1077.1636741932343</v>
      </c>
      <c r="AM223" s="22">
        <f>(1/(2*LOG(3.7*($I223-0.008)/'Calculation Constants'!$B$5*1000)))^2</f>
        <v>1.4709705891825043E-2</v>
      </c>
      <c r="AN223" s="19">
        <f t="shared" si="104"/>
        <v>2.1543104841910781</v>
      </c>
      <c r="AO223" s="19">
        <f>IF($H223&gt;0,'Calculation Constants'!$B$9*Hydraulics!$K223^2/2/9.81/MAX($F$4:$F$253)*$H223,"")</f>
        <v>7.8734226558858159E-2</v>
      </c>
      <c r="AP223" s="19">
        <f t="shared" si="105"/>
        <v>2.2330447107499363</v>
      </c>
      <c r="AQ223" s="19">
        <f t="shared" si="95"/>
        <v>0</v>
      </c>
      <c r="AR223" s="19">
        <f t="shared" si="106"/>
        <v>67.060443887448514</v>
      </c>
      <c r="AS223" s="23">
        <f t="shared" si="96"/>
        <v>1024.8634438874485</v>
      </c>
    </row>
    <row r="224" spans="5:45">
      <c r="E224" s="35" t="str">
        <f t="shared" si="82"/>
        <v/>
      </c>
      <c r="F224" s="19">
        <f>'Profile data'!A224</f>
        <v>442</v>
      </c>
      <c r="G224" s="19">
        <f>VLOOKUP(F224,'Profile data'!A224:C483,IF($B$22="Botswana 1",2,3))</f>
        <v>954.27700000000004</v>
      </c>
      <c r="H224" s="19">
        <f t="shared" si="107"/>
        <v>2</v>
      </c>
      <c r="I224" s="19">
        <v>1.8</v>
      </c>
      <c r="J224" s="36">
        <f>'Flow Rate Calculations'!$B$7</f>
        <v>4.0831050228310497</v>
      </c>
      <c r="K224" s="36">
        <f t="shared" si="97"/>
        <v>1.6045588828318709</v>
      </c>
      <c r="L224" s="37">
        <f>$I224*$K224/'Calculation Constants'!$B$7</f>
        <v>2555934.503625989</v>
      </c>
      <c r="M224" s="37" t="str">
        <f t="shared" si="83"/>
        <v>Greater Dynamic Pressures</v>
      </c>
      <c r="N224" s="23">
        <f t="shared" si="98"/>
        <v>168.0247724155879</v>
      </c>
      <c r="O224" s="56">
        <f t="shared" si="84"/>
        <v>150.18250079617087</v>
      </c>
      <c r="P224" s="65">
        <f>MAX(I224*1000/'Calculation Constants'!$B$14,O224*10*I224*1000/2/('Calculation Constants'!$B$12*1000*'Calculation Constants'!$B$13))</f>
        <v>11.25</v>
      </c>
      <c r="Q224" s="67">
        <f t="shared" si="85"/>
        <v>992548.40161508287</v>
      </c>
      <c r="R224" s="27">
        <f>(1/(2*LOG(3.7*$I224/'Calculation Constants'!$B$2*1000)))^2</f>
        <v>8.7463077071963571E-3</v>
      </c>
      <c r="S224" s="19">
        <f t="shared" si="99"/>
        <v>1.2752477269849725</v>
      </c>
      <c r="T224" s="19">
        <f>IF($H224&gt;0,'Calculation Constants'!$B$9*Hydraulics!$K224^2/2/9.81/MAX($F$4:$F$253)*$H224,"")</f>
        <v>7.8734226558858159E-2</v>
      </c>
      <c r="U224" s="19">
        <f t="shared" si="100"/>
        <v>1.3539819535438307</v>
      </c>
      <c r="V224" s="19">
        <f t="shared" si="86"/>
        <v>0</v>
      </c>
      <c r="W224" s="19">
        <f t="shared" si="87"/>
        <v>168.0247724155879</v>
      </c>
      <c r="X224" s="23">
        <f t="shared" si="88"/>
        <v>1122.3017724155879</v>
      </c>
      <c r="Y224" s="22">
        <f>(1/(2*LOG(3.7*$I224/'Calculation Constants'!$B$3*1000)))^2</f>
        <v>9.8211436332891755E-3</v>
      </c>
      <c r="Z224" s="19">
        <f t="shared" si="89"/>
        <v>1.431963236834217</v>
      </c>
      <c r="AA224" s="19">
        <f>IF($H224&gt;0,'Calculation Constants'!$B$9*Hydraulics!$K224^2/2/9.81/MAX($F$4:$F$253)*$H224,"")</f>
        <v>7.8734226558858159E-2</v>
      </c>
      <c r="AB224" s="19">
        <f t="shared" si="108"/>
        <v>1.5106974633930752</v>
      </c>
      <c r="AC224" s="19">
        <f t="shared" si="90"/>
        <v>0</v>
      </c>
      <c r="AD224" s="19">
        <f t="shared" si="101"/>
        <v>150.18250079617087</v>
      </c>
      <c r="AE224" s="23">
        <f t="shared" si="91"/>
        <v>1104.4595007961709</v>
      </c>
      <c r="AF224" s="27">
        <f>(1/(2*LOG(3.7*$I224/'Calculation Constants'!$B$4*1000)))^2</f>
        <v>1.1575055557914658E-2</v>
      </c>
      <c r="AG224" s="19">
        <f t="shared" si="92"/>
        <v>1.6876908272744866</v>
      </c>
      <c r="AH224" s="19">
        <f>IF($H224&gt;0,'Calculation Constants'!$B$9*Hydraulics!$K224^2/2/9.81/MAX($F$4:$F$253)*$H224,"")</f>
        <v>7.8734226558858159E-2</v>
      </c>
      <c r="AI224" s="19">
        <f t="shared" si="102"/>
        <v>1.7664250538333448</v>
      </c>
      <c r="AJ224" s="19">
        <f t="shared" si="93"/>
        <v>0</v>
      </c>
      <c r="AK224" s="19">
        <f t="shared" si="103"/>
        <v>121.12024913940104</v>
      </c>
      <c r="AL224" s="23">
        <f t="shared" si="94"/>
        <v>1075.3972491394011</v>
      </c>
      <c r="AM224" s="22">
        <f>(1/(2*LOG(3.7*($I224-0.008)/'Calculation Constants'!$B$5*1000)))^2</f>
        <v>1.4709705891825043E-2</v>
      </c>
      <c r="AN224" s="19">
        <f t="shared" si="104"/>
        <v>2.1543104841910781</v>
      </c>
      <c r="AO224" s="19">
        <f>IF($H224&gt;0,'Calculation Constants'!$B$9*Hydraulics!$K224^2/2/9.81/MAX($F$4:$F$253)*$H224,"")</f>
        <v>7.8734226558858159E-2</v>
      </c>
      <c r="AP224" s="19">
        <f t="shared" si="105"/>
        <v>2.2330447107499363</v>
      </c>
      <c r="AQ224" s="19">
        <f t="shared" si="95"/>
        <v>0</v>
      </c>
      <c r="AR224" s="19">
        <f t="shared" si="106"/>
        <v>68.353399176698531</v>
      </c>
      <c r="AS224" s="23">
        <f t="shared" si="96"/>
        <v>1022.6303991766986</v>
      </c>
    </row>
    <row r="225" spans="5:45">
      <c r="E225" s="35" t="str">
        <f t="shared" si="82"/>
        <v/>
      </c>
      <c r="F225" s="19">
        <f>'Profile data'!A225</f>
        <v>444</v>
      </c>
      <c r="G225" s="19">
        <f>VLOOKUP(F225,'Profile data'!A225:C484,IF($B$22="Botswana 1",2,3))</f>
        <v>947.18200000000002</v>
      </c>
      <c r="H225" s="19">
        <f t="shared" si="107"/>
        <v>2</v>
      </c>
      <c r="I225" s="19">
        <v>1.8</v>
      </c>
      <c r="J225" s="36">
        <f>'Flow Rate Calculations'!$B$7</f>
        <v>4.0831050228310497</v>
      </c>
      <c r="K225" s="36">
        <f t="shared" si="97"/>
        <v>1.6045588828318709</v>
      </c>
      <c r="L225" s="37">
        <f>$I225*$K225/'Calculation Constants'!$B$7</f>
        <v>2555934.503625989</v>
      </c>
      <c r="M225" s="37" t="str">
        <f t="shared" si="83"/>
        <v>Greater Dynamic Pressures</v>
      </c>
      <c r="N225" s="23">
        <f t="shared" si="98"/>
        <v>173.76579046204415</v>
      </c>
      <c r="O225" s="56">
        <f t="shared" si="84"/>
        <v>155.76680333277773</v>
      </c>
      <c r="P225" s="65">
        <f>MAX(I225*1000/'Calculation Constants'!$B$14,O225*10*I225*1000/2/('Calculation Constants'!$B$12*1000*'Calculation Constants'!$B$13))</f>
        <v>11.25</v>
      </c>
      <c r="Q225" s="67">
        <f t="shared" si="85"/>
        <v>992548.40161508287</v>
      </c>
      <c r="R225" s="27">
        <f>(1/(2*LOG(3.7*$I225/'Calculation Constants'!$B$2*1000)))^2</f>
        <v>8.7463077071963571E-3</v>
      </c>
      <c r="S225" s="19">
        <f t="shared" si="99"/>
        <v>1.2752477269849725</v>
      </c>
      <c r="T225" s="19">
        <f>IF($H225&gt;0,'Calculation Constants'!$B$9*Hydraulics!$K225^2/2/9.81/MAX($F$4:$F$253)*$H225,"")</f>
        <v>7.8734226558858159E-2</v>
      </c>
      <c r="U225" s="19">
        <f t="shared" si="100"/>
        <v>1.3539819535438307</v>
      </c>
      <c r="V225" s="19">
        <f t="shared" si="86"/>
        <v>0</v>
      </c>
      <c r="W225" s="19">
        <f t="shared" si="87"/>
        <v>173.76579046204415</v>
      </c>
      <c r="X225" s="23">
        <f t="shared" si="88"/>
        <v>1120.9477904620442</v>
      </c>
      <c r="Y225" s="22">
        <f>(1/(2*LOG(3.7*$I225/'Calculation Constants'!$B$3*1000)))^2</f>
        <v>9.8211436332891755E-3</v>
      </c>
      <c r="Z225" s="19">
        <f t="shared" si="89"/>
        <v>1.431963236834217</v>
      </c>
      <c r="AA225" s="19">
        <f>IF($H225&gt;0,'Calculation Constants'!$B$9*Hydraulics!$K225^2/2/9.81/MAX($F$4:$F$253)*$H225,"")</f>
        <v>7.8734226558858159E-2</v>
      </c>
      <c r="AB225" s="19">
        <f t="shared" si="108"/>
        <v>1.5106974633930752</v>
      </c>
      <c r="AC225" s="19">
        <f t="shared" si="90"/>
        <v>0</v>
      </c>
      <c r="AD225" s="19">
        <f t="shared" si="101"/>
        <v>155.76680333277773</v>
      </c>
      <c r="AE225" s="23">
        <f t="shared" si="91"/>
        <v>1102.9488033327777</v>
      </c>
      <c r="AF225" s="27">
        <f>(1/(2*LOG(3.7*$I225/'Calculation Constants'!$B$4*1000)))^2</f>
        <v>1.1575055557914658E-2</v>
      </c>
      <c r="AG225" s="19">
        <f t="shared" si="92"/>
        <v>1.6876908272744866</v>
      </c>
      <c r="AH225" s="19">
        <f>IF($H225&gt;0,'Calculation Constants'!$B$9*Hydraulics!$K225^2/2/9.81/MAX($F$4:$F$253)*$H225,"")</f>
        <v>7.8734226558858159E-2</v>
      </c>
      <c r="AI225" s="19">
        <f t="shared" si="102"/>
        <v>1.7664250538333448</v>
      </c>
      <c r="AJ225" s="19">
        <f t="shared" si="93"/>
        <v>0</v>
      </c>
      <c r="AK225" s="19">
        <f t="shared" si="103"/>
        <v>126.44882408556782</v>
      </c>
      <c r="AL225" s="23">
        <f t="shared" si="94"/>
        <v>1073.6308240855678</v>
      </c>
      <c r="AM225" s="22">
        <f>(1/(2*LOG(3.7*($I225-0.008)/'Calculation Constants'!$B$5*1000)))^2</f>
        <v>1.4709705891825043E-2</v>
      </c>
      <c r="AN225" s="19">
        <f t="shared" si="104"/>
        <v>2.1543104841910781</v>
      </c>
      <c r="AO225" s="19">
        <f>IF($H225&gt;0,'Calculation Constants'!$B$9*Hydraulics!$K225^2/2/9.81/MAX($F$4:$F$253)*$H225,"")</f>
        <v>7.8734226558858159E-2</v>
      </c>
      <c r="AP225" s="19">
        <f t="shared" si="105"/>
        <v>2.2330447107499363</v>
      </c>
      <c r="AQ225" s="19">
        <f t="shared" si="95"/>
        <v>0</v>
      </c>
      <c r="AR225" s="19">
        <f t="shared" si="106"/>
        <v>73.215354465948622</v>
      </c>
      <c r="AS225" s="23">
        <f t="shared" si="96"/>
        <v>1020.3973544659486</v>
      </c>
    </row>
    <row r="226" spans="5:45">
      <c r="E226" s="35" t="str">
        <f t="shared" si="82"/>
        <v/>
      </c>
      <c r="F226" s="19">
        <f>'Profile data'!A226</f>
        <v>446</v>
      </c>
      <c r="G226" s="19">
        <f>VLOOKUP(F226,'Profile data'!A226:C485,IF($B$22="Botswana 1",2,3))</f>
        <v>938.04499999999996</v>
      </c>
      <c r="H226" s="19">
        <f t="shared" si="107"/>
        <v>2</v>
      </c>
      <c r="I226" s="19">
        <v>1.8</v>
      </c>
      <c r="J226" s="36">
        <f>'Flow Rate Calculations'!$B$7</f>
        <v>4.0831050228310497</v>
      </c>
      <c r="K226" s="36">
        <f t="shared" si="97"/>
        <v>1.6045588828318709</v>
      </c>
      <c r="L226" s="37">
        <f>$I226*$K226/'Calculation Constants'!$B$7</f>
        <v>2555934.503625989</v>
      </c>
      <c r="M226" s="37" t="str">
        <f t="shared" si="83"/>
        <v>Greater Dynamic Pressures</v>
      </c>
      <c r="N226" s="23">
        <f t="shared" si="98"/>
        <v>181.54880850850043</v>
      </c>
      <c r="O226" s="56">
        <f t="shared" si="84"/>
        <v>163.39310586938461</v>
      </c>
      <c r="P226" s="65">
        <f>MAX(I226*1000/'Calculation Constants'!$B$14,O226*10*I226*1000/2/('Calculation Constants'!$B$12*1000*'Calculation Constants'!$B$13))</f>
        <v>11.25</v>
      </c>
      <c r="Q226" s="67">
        <f t="shared" si="85"/>
        <v>992548.40161508287</v>
      </c>
      <c r="R226" s="27">
        <f>(1/(2*LOG(3.7*$I226/'Calculation Constants'!$B$2*1000)))^2</f>
        <v>8.7463077071963571E-3</v>
      </c>
      <c r="S226" s="19">
        <f t="shared" si="99"/>
        <v>1.2752477269849725</v>
      </c>
      <c r="T226" s="19">
        <f>IF($H226&gt;0,'Calculation Constants'!$B$9*Hydraulics!$K226^2/2/9.81/MAX($F$4:$F$253)*$H226,"")</f>
        <v>7.8734226558858159E-2</v>
      </c>
      <c r="U226" s="19">
        <f t="shared" si="100"/>
        <v>1.3539819535438307</v>
      </c>
      <c r="V226" s="19">
        <f t="shared" si="86"/>
        <v>0</v>
      </c>
      <c r="W226" s="19">
        <f t="shared" si="87"/>
        <v>181.54880850850043</v>
      </c>
      <c r="X226" s="23">
        <f t="shared" si="88"/>
        <v>1119.5938085085004</v>
      </c>
      <c r="Y226" s="22">
        <f>(1/(2*LOG(3.7*$I226/'Calculation Constants'!$B$3*1000)))^2</f>
        <v>9.8211436332891755E-3</v>
      </c>
      <c r="Z226" s="19">
        <f t="shared" si="89"/>
        <v>1.431963236834217</v>
      </c>
      <c r="AA226" s="19">
        <f>IF($H226&gt;0,'Calculation Constants'!$B$9*Hydraulics!$K226^2/2/9.81/MAX($F$4:$F$253)*$H226,"")</f>
        <v>7.8734226558858159E-2</v>
      </c>
      <c r="AB226" s="19">
        <f t="shared" si="108"/>
        <v>1.5106974633930752</v>
      </c>
      <c r="AC226" s="19">
        <f t="shared" si="90"/>
        <v>0</v>
      </c>
      <c r="AD226" s="19">
        <f t="shared" si="101"/>
        <v>163.39310586938461</v>
      </c>
      <c r="AE226" s="23">
        <f t="shared" si="91"/>
        <v>1101.4381058693846</v>
      </c>
      <c r="AF226" s="27">
        <f>(1/(2*LOG(3.7*$I226/'Calculation Constants'!$B$4*1000)))^2</f>
        <v>1.1575055557914658E-2</v>
      </c>
      <c r="AG226" s="19">
        <f t="shared" si="92"/>
        <v>1.6876908272744866</v>
      </c>
      <c r="AH226" s="19">
        <f>IF($H226&gt;0,'Calculation Constants'!$B$9*Hydraulics!$K226^2/2/9.81/MAX($F$4:$F$253)*$H226,"")</f>
        <v>7.8734226558858159E-2</v>
      </c>
      <c r="AI226" s="19">
        <f t="shared" si="102"/>
        <v>1.7664250538333448</v>
      </c>
      <c r="AJ226" s="19">
        <f t="shared" si="93"/>
        <v>0</v>
      </c>
      <c r="AK226" s="19">
        <f t="shared" si="103"/>
        <v>133.81939903173463</v>
      </c>
      <c r="AL226" s="23">
        <f t="shared" si="94"/>
        <v>1071.8643990317346</v>
      </c>
      <c r="AM226" s="22">
        <f>(1/(2*LOG(3.7*($I226-0.008)/'Calculation Constants'!$B$5*1000)))^2</f>
        <v>1.4709705891825043E-2</v>
      </c>
      <c r="AN226" s="19">
        <f t="shared" si="104"/>
        <v>2.1543104841910781</v>
      </c>
      <c r="AO226" s="19">
        <f>IF($H226&gt;0,'Calculation Constants'!$B$9*Hydraulics!$K226^2/2/9.81/MAX($F$4:$F$253)*$H226,"")</f>
        <v>7.8734226558858159E-2</v>
      </c>
      <c r="AP226" s="19">
        <f t="shared" si="105"/>
        <v>2.2330447107499363</v>
      </c>
      <c r="AQ226" s="19">
        <f t="shared" si="95"/>
        <v>0</v>
      </c>
      <c r="AR226" s="19">
        <f t="shared" si="106"/>
        <v>80.119309755198742</v>
      </c>
      <c r="AS226" s="23">
        <f t="shared" si="96"/>
        <v>1018.1643097551987</v>
      </c>
    </row>
    <row r="227" spans="5:45">
      <c r="E227" s="35" t="str">
        <f t="shared" si="82"/>
        <v/>
      </c>
      <c r="F227" s="19">
        <f>'Profile data'!A227</f>
        <v>448</v>
      </c>
      <c r="G227" s="19">
        <f>VLOOKUP(F227,'Profile data'!A227:C486,IF($B$22="Botswana 1",2,3))</f>
        <v>930.87099999999998</v>
      </c>
      <c r="H227" s="19">
        <f t="shared" si="107"/>
        <v>2</v>
      </c>
      <c r="I227" s="19">
        <v>1.8</v>
      </c>
      <c r="J227" s="36">
        <f>'Flow Rate Calculations'!$B$7</f>
        <v>4.0831050228310497</v>
      </c>
      <c r="K227" s="36">
        <f t="shared" si="97"/>
        <v>1.6045588828318709</v>
      </c>
      <c r="L227" s="37">
        <f>$I227*$K227/'Calculation Constants'!$B$7</f>
        <v>2555934.503625989</v>
      </c>
      <c r="M227" s="37" t="str">
        <f t="shared" si="83"/>
        <v>Greater Dynamic Pressures</v>
      </c>
      <c r="N227" s="23">
        <f t="shared" si="98"/>
        <v>187.36882655495663</v>
      </c>
      <c r="O227" s="56">
        <f t="shared" si="84"/>
        <v>169.05640840599142</v>
      </c>
      <c r="P227" s="65">
        <f>MAX(I227*1000/'Calculation Constants'!$B$14,O227*10*I227*1000/2/('Calculation Constants'!$B$12*1000*'Calculation Constants'!$B$13))</f>
        <v>11.25</v>
      </c>
      <c r="Q227" s="67">
        <f t="shared" si="85"/>
        <v>992548.40161508287</v>
      </c>
      <c r="R227" s="27">
        <f>(1/(2*LOG(3.7*$I227/'Calculation Constants'!$B$2*1000)))^2</f>
        <v>8.7463077071963571E-3</v>
      </c>
      <c r="S227" s="19">
        <f t="shared" si="99"/>
        <v>1.2752477269849725</v>
      </c>
      <c r="T227" s="19">
        <f>IF($H227&gt;0,'Calculation Constants'!$B$9*Hydraulics!$K227^2/2/9.81/MAX($F$4:$F$253)*$H227,"")</f>
        <v>7.8734226558858159E-2</v>
      </c>
      <c r="U227" s="19">
        <f t="shared" si="100"/>
        <v>1.3539819535438307</v>
      </c>
      <c r="V227" s="19">
        <f t="shared" si="86"/>
        <v>0</v>
      </c>
      <c r="W227" s="19">
        <f t="shared" si="87"/>
        <v>187.36882655495663</v>
      </c>
      <c r="X227" s="23">
        <f t="shared" si="88"/>
        <v>1118.2398265549566</v>
      </c>
      <c r="Y227" s="22">
        <f>(1/(2*LOG(3.7*$I227/'Calculation Constants'!$B$3*1000)))^2</f>
        <v>9.8211436332891755E-3</v>
      </c>
      <c r="Z227" s="19">
        <f t="shared" si="89"/>
        <v>1.431963236834217</v>
      </c>
      <c r="AA227" s="19">
        <f>IF($H227&gt;0,'Calculation Constants'!$B$9*Hydraulics!$K227^2/2/9.81/MAX($F$4:$F$253)*$H227,"")</f>
        <v>7.8734226558858159E-2</v>
      </c>
      <c r="AB227" s="19">
        <f t="shared" si="108"/>
        <v>1.5106974633930752</v>
      </c>
      <c r="AC227" s="19">
        <f t="shared" si="90"/>
        <v>0</v>
      </c>
      <c r="AD227" s="19">
        <f t="shared" si="101"/>
        <v>169.05640840599142</v>
      </c>
      <c r="AE227" s="23">
        <f t="shared" si="91"/>
        <v>1099.9274084059914</v>
      </c>
      <c r="AF227" s="27">
        <f>(1/(2*LOG(3.7*$I227/'Calculation Constants'!$B$4*1000)))^2</f>
        <v>1.1575055557914658E-2</v>
      </c>
      <c r="AG227" s="19">
        <f t="shared" si="92"/>
        <v>1.6876908272744866</v>
      </c>
      <c r="AH227" s="19">
        <f>IF($H227&gt;0,'Calculation Constants'!$B$9*Hydraulics!$K227^2/2/9.81/MAX($F$4:$F$253)*$H227,"")</f>
        <v>7.8734226558858159E-2</v>
      </c>
      <c r="AI227" s="19">
        <f t="shared" si="102"/>
        <v>1.7664250538333448</v>
      </c>
      <c r="AJ227" s="19">
        <f t="shared" si="93"/>
        <v>0</v>
      </c>
      <c r="AK227" s="19">
        <f t="shared" si="103"/>
        <v>139.22697397790137</v>
      </c>
      <c r="AL227" s="23">
        <f t="shared" si="94"/>
        <v>1070.0979739779013</v>
      </c>
      <c r="AM227" s="22">
        <f>(1/(2*LOG(3.7*($I227-0.008)/'Calculation Constants'!$B$5*1000)))^2</f>
        <v>1.4709705891825043E-2</v>
      </c>
      <c r="AN227" s="19">
        <f t="shared" si="104"/>
        <v>2.1543104841910781</v>
      </c>
      <c r="AO227" s="19">
        <f>IF($H227&gt;0,'Calculation Constants'!$B$9*Hydraulics!$K227^2/2/9.81/MAX($F$4:$F$253)*$H227,"")</f>
        <v>7.8734226558858159E-2</v>
      </c>
      <c r="AP227" s="19">
        <f t="shared" si="105"/>
        <v>2.2330447107499363</v>
      </c>
      <c r="AQ227" s="19">
        <f t="shared" si="95"/>
        <v>0</v>
      </c>
      <c r="AR227" s="19">
        <f t="shared" si="106"/>
        <v>85.060265044448784</v>
      </c>
      <c r="AS227" s="23">
        <f t="shared" si="96"/>
        <v>1015.9312650444488</v>
      </c>
    </row>
    <row r="228" spans="5:45">
      <c r="E228" s="35" t="str">
        <f t="shared" si="82"/>
        <v/>
      </c>
      <c r="F228" s="19">
        <f>'Profile data'!A228</f>
        <v>450</v>
      </c>
      <c r="G228" s="19">
        <f>VLOOKUP(F228,'Profile data'!A228:C487,IF($B$22="Botswana 1",2,3))</f>
        <v>926.39099999999996</v>
      </c>
      <c r="H228" s="19">
        <f t="shared" si="107"/>
        <v>2</v>
      </c>
      <c r="I228" s="19">
        <v>1.8</v>
      </c>
      <c r="J228" s="36">
        <f>'Flow Rate Calculations'!$B$7</f>
        <v>4.0831050228310497</v>
      </c>
      <c r="K228" s="36">
        <f t="shared" si="97"/>
        <v>1.6045588828318709</v>
      </c>
      <c r="L228" s="37">
        <f>$I228*$K228/'Calculation Constants'!$B$7</f>
        <v>2555934.503625989</v>
      </c>
      <c r="M228" s="37" t="str">
        <f t="shared" si="83"/>
        <v>Greater Dynamic Pressures</v>
      </c>
      <c r="N228" s="23">
        <f t="shared" si="98"/>
        <v>190.49484460141286</v>
      </c>
      <c r="O228" s="56">
        <f t="shared" si="84"/>
        <v>172.02571094259827</v>
      </c>
      <c r="P228" s="65">
        <f>MAX(I228*1000/'Calculation Constants'!$B$14,O228*10*I228*1000/2/('Calculation Constants'!$B$12*1000*'Calculation Constants'!$B$13))</f>
        <v>11.25</v>
      </c>
      <c r="Q228" s="67">
        <f t="shared" si="85"/>
        <v>992548.40161508287</v>
      </c>
      <c r="R228" s="27">
        <f>(1/(2*LOG(3.7*$I228/'Calculation Constants'!$B$2*1000)))^2</f>
        <v>8.7463077071963571E-3</v>
      </c>
      <c r="S228" s="19">
        <f t="shared" si="99"/>
        <v>1.2752477269849725</v>
      </c>
      <c r="T228" s="19">
        <f>IF($H228&gt;0,'Calculation Constants'!$B$9*Hydraulics!$K228^2/2/9.81/MAX($F$4:$F$253)*$H228,"")</f>
        <v>7.8734226558858159E-2</v>
      </c>
      <c r="U228" s="19">
        <f t="shared" si="100"/>
        <v>1.3539819535438307</v>
      </c>
      <c r="V228" s="19">
        <f t="shared" si="86"/>
        <v>0</v>
      </c>
      <c r="W228" s="19">
        <f t="shared" si="87"/>
        <v>190.49484460141286</v>
      </c>
      <c r="X228" s="23">
        <f t="shared" si="88"/>
        <v>1116.8858446014128</v>
      </c>
      <c r="Y228" s="22">
        <f>(1/(2*LOG(3.7*$I228/'Calculation Constants'!$B$3*1000)))^2</f>
        <v>9.8211436332891755E-3</v>
      </c>
      <c r="Z228" s="19">
        <f t="shared" si="89"/>
        <v>1.431963236834217</v>
      </c>
      <c r="AA228" s="19">
        <f>IF($H228&gt;0,'Calculation Constants'!$B$9*Hydraulics!$K228^2/2/9.81/MAX($F$4:$F$253)*$H228,"")</f>
        <v>7.8734226558858159E-2</v>
      </c>
      <c r="AB228" s="19">
        <f t="shared" si="108"/>
        <v>1.5106974633930752</v>
      </c>
      <c r="AC228" s="19">
        <f t="shared" si="90"/>
        <v>0</v>
      </c>
      <c r="AD228" s="19">
        <f t="shared" si="101"/>
        <v>172.02571094259827</v>
      </c>
      <c r="AE228" s="23">
        <f t="shared" si="91"/>
        <v>1098.4167109425982</v>
      </c>
      <c r="AF228" s="27">
        <f>(1/(2*LOG(3.7*$I228/'Calculation Constants'!$B$4*1000)))^2</f>
        <v>1.1575055557914658E-2</v>
      </c>
      <c r="AG228" s="19">
        <f t="shared" si="92"/>
        <v>1.6876908272744866</v>
      </c>
      <c r="AH228" s="19">
        <f>IF($H228&gt;0,'Calculation Constants'!$B$9*Hydraulics!$K228^2/2/9.81/MAX($F$4:$F$253)*$H228,"")</f>
        <v>7.8734226558858159E-2</v>
      </c>
      <c r="AI228" s="19">
        <f t="shared" si="102"/>
        <v>1.7664250538333448</v>
      </c>
      <c r="AJ228" s="19">
        <f t="shared" si="93"/>
        <v>0</v>
      </c>
      <c r="AK228" s="19">
        <f t="shared" si="103"/>
        <v>141.94054892406814</v>
      </c>
      <c r="AL228" s="23">
        <f t="shared" si="94"/>
        <v>1068.3315489240681</v>
      </c>
      <c r="AM228" s="22">
        <f>(1/(2*LOG(3.7*($I228-0.008)/'Calculation Constants'!$B$5*1000)))^2</f>
        <v>1.4709705891825043E-2</v>
      </c>
      <c r="AN228" s="19">
        <f t="shared" si="104"/>
        <v>2.1543104841910781</v>
      </c>
      <c r="AO228" s="19">
        <f>IF($H228&gt;0,'Calculation Constants'!$B$9*Hydraulics!$K228^2/2/9.81/MAX($F$4:$F$253)*$H228,"")</f>
        <v>7.8734226558858159E-2</v>
      </c>
      <c r="AP228" s="19">
        <f t="shared" si="105"/>
        <v>2.2330447107499363</v>
      </c>
      <c r="AQ228" s="19">
        <f t="shared" si="95"/>
        <v>0</v>
      </c>
      <c r="AR228" s="19">
        <f t="shared" si="106"/>
        <v>87.307220333698865</v>
      </c>
      <c r="AS228" s="23">
        <f t="shared" si="96"/>
        <v>1013.6982203336988</v>
      </c>
    </row>
    <row r="229" spans="5:45">
      <c r="E229" s="35" t="str">
        <f t="shared" si="82"/>
        <v/>
      </c>
      <c r="F229" s="19">
        <f>'Profile data'!A229</f>
        <v>452</v>
      </c>
      <c r="G229" s="19">
        <f>VLOOKUP(F229,'Profile data'!A229:C488,IF($B$22="Botswana 1",2,3))</f>
        <v>918.34400000000005</v>
      </c>
      <c r="H229" s="19">
        <f t="shared" si="107"/>
        <v>2</v>
      </c>
      <c r="I229" s="19">
        <v>1.8</v>
      </c>
      <c r="J229" s="36">
        <f>'Flow Rate Calculations'!$B$7</f>
        <v>4.0831050228310497</v>
      </c>
      <c r="K229" s="36">
        <f t="shared" si="97"/>
        <v>1.6045588828318709</v>
      </c>
      <c r="L229" s="37">
        <f>$I229*$K229/'Calculation Constants'!$B$7</f>
        <v>2555934.503625989</v>
      </c>
      <c r="M229" s="37" t="str">
        <f t="shared" si="83"/>
        <v>Greater Dynamic Pressures</v>
      </c>
      <c r="N229" s="23">
        <f t="shared" si="98"/>
        <v>197.187862647869</v>
      </c>
      <c r="O229" s="56">
        <f t="shared" si="84"/>
        <v>178.56201347920501</v>
      </c>
      <c r="P229" s="65">
        <f>MAX(I229*1000/'Calculation Constants'!$B$14,O229*10*I229*1000/2/('Calculation Constants'!$B$12*1000*'Calculation Constants'!$B$13))</f>
        <v>11.25</v>
      </c>
      <c r="Q229" s="67">
        <f t="shared" si="85"/>
        <v>992548.40161508287</v>
      </c>
      <c r="R229" s="27">
        <f>(1/(2*LOG(3.7*$I229/'Calculation Constants'!$B$2*1000)))^2</f>
        <v>8.7463077071963571E-3</v>
      </c>
      <c r="S229" s="19">
        <f t="shared" si="99"/>
        <v>1.2752477269849725</v>
      </c>
      <c r="T229" s="19">
        <f>IF($H229&gt;0,'Calculation Constants'!$B$9*Hydraulics!$K229^2/2/9.81/MAX($F$4:$F$253)*$H229,"")</f>
        <v>7.8734226558858159E-2</v>
      </c>
      <c r="U229" s="19">
        <f t="shared" si="100"/>
        <v>1.3539819535438307</v>
      </c>
      <c r="V229" s="19">
        <f t="shared" si="86"/>
        <v>0</v>
      </c>
      <c r="W229" s="19">
        <f t="shared" si="87"/>
        <v>197.187862647869</v>
      </c>
      <c r="X229" s="23">
        <f t="shared" si="88"/>
        <v>1115.531862647869</v>
      </c>
      <c r="Y229" s="22">
        <f>(1/(2*LOG(3.7*$I229/'Calculation Constants'!$B$3*1000)))^2</f>
        <v>9.8211436332891755E-3</v>
      </c>
      <c r="Z229" s="19">
        <f t="shared" si="89"/>
        <v>1.431963236834217</v>
      </c>
      <c r="AA229" s="19">
        <f>IF($H229&gt;0,'Calculation Constants'!$B$9*Hydraulics!$K229^2/2/9.81/MAX($F$4:$F$253)*$H229,"")</f>
        <v>7.8734226558858159E-2</v>
      </c>
      <c r="AB229" s="19">
        <f t="shared" si="108"/>
        <v>1.5106974633930752</v>
      </c>
      <c r="AC229" s="19">
        <f t="shared" si="90"/>
        <v>0</v>
      </c>
      <c r="AD229" s="19">
        <f t="shared" si="101"/>
        <v>178.56201347920501</v>
      </c>
      <c r="AE229" s="23">
        <f t="shared" si="91"/>
        <v>1096.9060134792051</v>
      </c>
      <c r="AF229" s="27">
        <f>(1/(2*LOG(3.7*$I229/'Calculation Constants'!$B$4*1000)))^2</f>
        <v>1.1575055557914658E-2</v>
      </c>
      <c r="AG229" s="19">
        <f t="shared" si="92"/>
        <v>1.6876908272744866</v>
      </c>
      <c r="AH229" s="19">
        <f>IF($H229&gt;0,'Calculation Constants'!$B$9*Hydraulics!$K229^2/2/9.81/MAX($F$4:$F$253)*$H229,"")</f>
        <v>7.8734226558858159E-2</v>
      </c>
      <c r="AI229" s="19">
        <f t="shared" si="102"/>
        <v>1.7664250538333448</v>
      </c>
      <c r="AJ229" s="19">
        <f t="shared" si="93"/>
        <v>0</v>
      </c>
      <c r="AK229" s="19">
        <f t="shared" si="103"/>
        <v>148.22112387023481</v>
      </c>
      <c r="AL229" s="23">
        <f t="shared" si="94"/>
        <v>1066.5651238702349</v>
      </c>
      <c r="AM229" s="22">
        <f>(1/(2*LOG(3.7*($I229-0.008)/'Calculation Constants'!$B$5*1000)))^2</f>
        <v>1.4709705891825043E-2</v>
      </c>
      <c r="AN229" s="19">
        <f t="shared" si="104"/>
        <v>2.1543104841910781</v>
      </c>
      <c r="AO229" s="19">
        <f>IF($H229&gt;0,'Calculation Constants'!$B$9*Hydraulics!$K229^2/2/9.81/MAX($F$4:$F$253)*$H229,"")</f>
        <v>7.8734226558858159E-2</v>
      </c>
      <c r="AP229" s="19">
        <f t="shared" si="105"/>
        <v>2.2330447107499363</v>
      </c>
      <c r="AQ229" s="19">
        <f t="shared" si="95"/>
        <v>0</v>
      </c>
      <c r="AR229" s="19">
        <f t="shared" si="106"/>
        <v>93.12117562294884</v>
      </c>
      <c r="AS229" s="23">
        <f t="shared" si="96"/>
        <v>1011.4651756229489</v>
      </c>
    </row>
    <row r="230" spans="5:45">
      <c r="E230" s="35" t="str">
        <f t="shared" si="82"/>
        <v/>
      </c>
      <c r="F230" s="19">
        <f>'Profile data'!A230</f>
        <v>454</v>
      </c>
      <c r="G230" s="19">
        <f>VLOOKUP(F230,'Profile data'!A230:C489,IF($B$22="Botswana 1",2,3))</f>
        <v>911.505</v>
      </c>
      <c r="H230" s="19">
        <f t="shared" si="107"/>
        <v>2</v>
      </c>
      <c r="I230" s="19">
        <v>1.8</v>
      </c>
      <c r="J230" s="36">
        <f>'Flow Rate Calculations'!$B$7</f>
        <v>4.0831050228310497</v>
      </c>
      <c r="K230" s="36">
        <f t="shared" si="97"/>
        <v>1.6045588828318709</v>
      </c>
      <c r="L230" s="37">
        <f>$I230*$K230/'Calculation Constants'!$B$7</f>
        <v>2555934.503625989</v>
      </c>
      <c r="M230" s="37" t="str">
        <f t="shared" si="83"/>
        <v>Greater Dynamic Pressures</v>
      </c>
      <c r="N230" s="23">
        <f t="shared" si="98"/>
        <v>202.67288069432527</v>
      </c>
      <c r="O230" s="56">
        <f t="shared" si="84"/>
        <v>183.89031601581189</v>
      </c>
      <c r="P230" s="65">
        <f>MAX(I230*1000/'Calculation Constants'!$B$14,O230*10*I230*1000/2/('Calculation Constants'!$B$12*1000*'Calculation Constants'!$B$13))</f>
        <v>11.25</v>
      </c>
      <c r="Q230" s="67">
        <f t="shared" si="85"/>
        <v>992548.40161508287</v>
      </c>
      <c r="R230" s="27">
        <f>(1/(2*LOG(3.7*$I230/'Calculation Constants'!$B$2*1000)))^2</f>
        <v>8.7463077071963571E-3</v>
      </c>
      <c r="S230" s="19">
        <f t="shared" si="99"/>
        <v>1.2752477269849725</v>
      </c>
      <c r="T230" s="19">
        <f>IF($H230&gt;0,'Calculation Constants'!$B$9*Hydraulics!$K230^2/2/9.81/MAX($F$4:$F$253)*$H230,"")</f>
        <v>7.8734226558858159E-2</v>
      </c>
      <c r="U230" s="19">
        <f t="shared" si="100"/>
        <v>1.3539819535438307</v>
      </c>
      <c r="V230" s="19">
        <f t="shared" si="86"/>
        <v>0</v>
      </c>
      <c r="W230" s="19">
        <f t="shared" si="87"/>
        <v>202.67288069432527</v>
      </c>
      <c r="X230" s="23">
        <f t="shared" si="88"/>
        <v>1114.1778806943253</v>
      </c>
      <c r="Y230" s="22">
        <f>(1/(2*LOG(3.7*$I230/'Calculation Constants'!$B$3*1000)))^2</f>
        <v>9.8211436332891755E-3</v>
      </c>
      <c r="Z230" s="19">
        <f t="shared" si="89"/>
        <v>1.431963236834217</v>
      </c>
      <c r="AA230" s="19">
        <f>IF($H230&gt;0,'Calculation Constants'!$B$9*Hydraulics!$K230^2/2/9.81/MAX($F$4:$F$253)*$H230,"")</f>
        <v>7.8734226558858159E-2</v>
      </c>
      <c r="AB230" s="19">
        <f t="shared" si="108"/>
        <v>1.5106974633930752</v>
      </c>
      <c r="AC230" s="19">
        <f t="shared" si="90"/>
        <v>0</v>
      </c>
      <c r="AD230" s="19">
        <f t="shared" si="101"/>
        <v>183.89031601581189</v>
      </c>
      <c r="AE230" s="23">
        <f t="shared" si="91"/>
        <v>1095.3953160158119</v>
      </c>
      <c r="AF230" s="27">
        <f>(1/(2*LOG(3.7*$I230/'Calculation Constants'!$B$4*1000)))^2</f>
        <v>1.1575055557914658E-2</v>
      </c>
      <c r="AG230" s="19">
        <f t="shared" si="92"/>
        <v>1.6876908272744866</v>
      </c>
      <c r="AH230" s="19">
        <f>IF($H230&gt;0,'Calculation Constants'!$B$9*Hydraulics!$K230^2/2/9.81/MAX($F$4:$F$253)*$H230,"")</f>
        <v>7.8734226558858159E-2</v>
      </c>
      <c r="AI230" s="19">
        <f t="shared" si="102"/>
        <v>1.7664250538333448</v>
      </c>
      <c r="AJ230" s="19">
        <f t="shared" si="93"/>
        <v>0</v>
      </c>
      <c r="AK230" s="19">
        <f t="shared" si="103"/>
        <v>153.29369881640162</v>
      </c>
      <c r="AL230" s="23">
        <f t="shared" si="94"/>
        <v>1064.7986988164016</v>
      </c>
      <c r="AM230" s="22">
        <f>(1/(2*LOG(3.7*($I230-0.008)/'Calculation Constants'!$B$5*1000)))^2</f>
        <v>1.4709705891825043E-2</v>
      </c>
      <c r="AN230" s="19">
        <f t="shared" si="104"/>
        <v>2.1543104841910781</v>
      </c>
      <c r="AO230" s="19">
        <f>IF($H230&gt;0,'Calculation Constants'!$B$9*Hydraulics!$K230^2/2/9.81/MAX($F$4:$F$253)*$H230,"")</f>
        <v>7.8734226558858159E-2</v>
      </c>
      <c r="AP230" s="19">
        <f t="shared" si="105"/>
        <v>2.2330447107499363</v>
      </c>
      <c r="AQ230" s="19">
        <f t="shared" si="95"/>
        <v>0</v>
      </c>
      <c r="AR230" s="19">
        <f t="shared" si="106"/>
        <v>97.727130912198959</v>
      </c>
      <c r="AS230" s="23">
        <f t="shared" si="96"/>
        <v>1009.232130912199</v>
      </c>
    </row>
    <row r="231" spans="5:45">
      <c r="E231" s="35" t="str">
        <f t="shared" si="82"/>
        <v/>
      </c>
      <c r="F231" s="19">
        <f>'Profile data'!A231</f>
        <v>456</v>
      </c>
      <c r="G231" s="19">
        <f>VLOOKUP(F231,'Profile data'!A231:C490,IF($B$22="Botswana 1",2,3))</f>
        <v>903.61</v>
      </c>
      <c r="H231" s="19">
        <f t="shared" si="107"/>
        <v>2</v>
      </c>
      <c r="I231" s="19">
        <v>1.8</v>
      </c>
      <c r="J231" s="36">
        <f>'Flow Rate Calculations'!$B$7</f>
        <v>4.0831050228310497</v>
      </c>
      <c r="K231" s="36">
        <f t="shared" si="97"/>
        <v>1.6045588828318709</v>
      </c>
      <c r="L231" s="37">
        <f>$I231*$K231/'Calculation Constants'!$B$7</f>
        <v>2555934.503625989</v>
      </c>
      <c r="M231" s="37" t="str">
        <f t="shared" si="83"/>
        <v>Greater Dynamic Pressures</v>
      </c>
      <c r="N231" s="23">
        <f t="shared" si="98"/>
        <v>209.21389874078147</v>
      </c>
      <c r="O231" s="56">
        <f t="shared" si="84"/>
        <v>190.2746185524187</v>
      </c>
      <c r="P231" s="65">
        <f>MAX(I231*1000/'Calculation Constants'!$B$14,O231*10*I231*1000/2/('Calculation Constants'!$B$12*1000*'Calculation Constants'!$B$13))</f>
        <v>11.416477113145122</v>
      </c>
      <c r="Q231" s="67">
        <f t="shared" si="85"/>
        <v>1007142.3563089692</v>
      </c>
      <c r="R231" s="27">
        <f>(1/(2*LOG(3.7*$I231/'Calculation Constants'!$B$2*1000)))^2</f>
        <v>8.7463077071963571E-3</v>
      </c>
      <c r="S231" s="19">
        <f t="shared" si="99"/>
        <v>1.2752477269849725</v>
      </c>
      <c r="T231" s="19">
        <f>IF($H231&gt;0,'Calculation Constants'!$B$9*Hydraulics!$K231^2/2/9.81/MAX($F$4:$F$253)*$H231,"")</f>
        <v>7.8734226558858159E-2</v>
      </c>
      <c r="U231" s="19">
        <f t="shared" si="100"/>
        <v>1.3539819535438307</v>
      </c>
      <c r="V231" s="19">
        <f t="shared" si="86"/>
        <v>0</v>
      </c>
      <c r="W231" s="19">
        <f t="shared" si="87"/>
        <v>209.21389874078147</v>
      </c>
      <c r="X231" s="23">
        <f t="shared" si="88"/>
        <v>1112.8238987407815</v>
      </c>
      <c r="Y231" s="22">
        <f>(1/(2*LOG(3.7*$I231/'Calculation Constants'!$B$3*1000)))^2</f>
        <v>9.8211436332891755E-3</v>
      </c>
      <c r="Z231" s="19">
        <f t="shared" si="89"/>
        <v>1.431963236834217</v>
      </c>
      <c r="AA231" s="19">
        <f>IF($H231&gt;0,'Calculation Constants'!$B$9*Hydraulics!$K231^2/2/9.81/MAX($F$4:$F$253)*$H231,"")</f>
        <v>7.8734226558858159E-2</v>
      </c>
      <c r="AB231" s="19">
        <f t="shared" si="108"/>
        <v>1.5106974633930752</v>
      </c>
      <c r="AC231" s="19">
        <f t="shared" si="90"/>
        <v>0</v>
      </c>
      <c r="AD231" s="19">
        <f t="shared" si="101"/>
        <v>190.2746185524187</v>
      </c>
      <c r="AE231" s="23">
        <f t="shared" si="91"/>
        <v>1093.8846185524187</v>
      </c>
      <c r="AF231" s="27">
        <f>(1/(2*LOG(3.7*$I231/'Calculation Constants'!$B$4*1000)))^2</f>
        <v>1.1575055557914658E-2</v>
      </c>
      <c r="AG231" s="19">
        <f t="shared" si="92"/>
        <v>1.6876908272744866</v>
      </c>
      <c r="AH231" s="19">
        <f>IF($H231&gt;0,'Calculation Constants'!$B$9*Hydraulics!$K231^2/2/9.81/MAX($F$4:$F$253)*$H231,"")</f>
        <v>7.8734226558858159E-2</v>
      </c>
      <c r="AI231" s="19">
        <f t="shared" si="102"/>
        <v>1.7664250538333448</v>
      </c>
      <c r="AJ231" s="19">
        <f t="shared" si="93"/>
        <v>0</v>
      </c>
      <c r="AK231" s="19">
        <f t="shared" si="103"/>
        <v>159.42227376256835</v>
      </c>
      <c r="AL231" s="23">
        <f t="shared" si="94"/>
        <v>1063.0322737625684</v>
      </c>
      <c r="AM231" s="22">
        <f>(1/(2*LOG(3.7*($I231-0.008)/'Calculation Constants'!$B$5*1000)))^2</f>
        <v>1.4709705891825043E-2</v>
      </c>
      <c r="AN231" s="19">
        <f t="shared" si="104"/>
        <v>2.1543104841910781</v>
      </c>
      <c r="AO231" s="19">
        <f>IF($H231&gt;0,'Calculation Constants'!$B$9*Hydraulics!$K231^2/2/9.81/MAX($F$4:$F$253)*$H231,"")</f>
        <v>7.8734226558858159E-2</v>
      </c>
      <c r="AP231" s="19">
        <f t="shared" si="105"/>
        <v>2.2330447107499363</v>
      </c>
      <c r="AQ231" s="19">
        <f t="shared" si="95"/>
        <v>0</v>
      </c>
      <c r="AR231" s="19">
        <f t="shared" si="106"/>
        <v>103.389086201449</v>
      </c>
      <c r="AS231" s="23">
        <f t="shared" si="96"/>
        <v>1006.999086201449</v>
      </c>
    </row>
    <row r="232" spans="5:45">
      <c r="E232" s="35" t="str">
        <f t="shared" si="82"/>
        <v/>
      </c>
      <c r="F232" s="19">
        <f>'Profile data'!A232</f>
        <v>458</v>
      </c>
      <c r="G232" s="19">
        <f>VLOOKUP(F232,'Profile data'!A232:C491,IF($B$22="Botswana 1",2,3))</f>
        <v>900.63</v>
      </c>
      <c r="H232" s="19">
        <f t="shared" si="107"/>
        <v>2</v>
      </c>
      <c r="I232" s="19">
        <v>1.8</v>
      </c>
      <c r="J232" s="36">
        <f>'Flow Rate Calculations'!$B$7</f>
        <v>4.0831050228310497</v>
      </c>
      <c r="K232" s="36">
        <f t="shared" si="97"/>
        <v>1.6045588828318709</v>
      </c>
      <c r="L232" s="37">
        <f>$I232*$K232/'Calculation Constants'!$B$7</f>
        <v>2555934.503625989</v>
      </c>
      <c r="M232" s="37" t="str">
        <f t="shared" si="83"/>
        <v>Greater Dynamic Pressures</v>
      </c>
      <c r="N232" s="23">
        <f t="shared" si="98"/>
        <v>210.83991678723771</v>
      </c>
      <c r="O232" s="56">
        <f t="shared" si="84"/>
        <v>191.74392108902555</v>
      </c>
      <c r="P232" s="65">
        <f>MAX(I232*1000/'Calculation Constants'!$B$14,O232*10*I232*1000/2/('Calculation Constants'!$B$12*1000*'Calculation Constants'!$B$13))</f>
        <v>11.504635265341532</v>
      </c>
      <c r="Q232" s="67">
        <f t="shared" si="85"/>
        <v>1014869.4950693048</v>
      </c>
      <c r="R232" s="27">
        <f>(1/(2*LOG(3.7*$I232/'Calculation Constants'!$B$2*1000)))^2</f>
        <v>8.7463077071963571E-3</v>
      </c>
      <c r="S232" s="19">
        <f t="shared" si="99"/>
        <v>1.2752477269849725</v>
      </c>
      <c r="T232" s="19">
        <f>IF($H232&gt;0,'Calculation Constants'!$B$9*Hydraulics!$K232^2/2/9.81/MAX($F$4:$F$253)*$H232,"")</f>
        <v>7.8734226558858159E-2</v>
      </c>
      <c r="U232" s="19">
        <f t="shared" si="100"/>
        <v>1.3539819535438307</v>
      </c>
      <c r="V232" s="19">
        <f t="shared" si="86"/>
        <v>0</v>
      </c>
      <c r="W232" s="19">
        <f t="shared" si="87"/>
        <v>210.83991678723771</v>
      </c>
      <c r="X232" s="23">
        <f t="shared" si="88"/>
        <v>1111.4699167872377</v>
      </c>
      <c r="Y232" s="22">
        <f>(1/(2*LOG(3.7*$I232/'Calculation Constants'!$B$3*1000)))^2</f>
        <v>9.8211436332891755E-3</v>
      </c>
      <c r="Z232" s="19">
        <f t="shared" si="89"/>
        <v>1.431963236834217</v>
      </c>
      <c r="AA232" s="19">
        <f>IF($H232&gt;0,'Calculation Constants'!$B$9*Hydraulics!$K232^2/2/9.81/MAX($F$4:$F$253)*$H232,"")</f>
        <v>7.8734226558858159E-2</v>
      </c>
      <c r="AB232" s="19">
        <f t="shared" si="108"/>
        <v>1.5106974633930752</v>
      </c>
      <c r="AC232" s="19">
        <f t="shared" si="90"/>
        <v>0</v>
      </c>
      <c r="AD232" s="19">
        <f t="shared" si="101"/>
        <v>191.74392108902555</v>
      </c>
      <c r="AE232" s="23">
        <f t="shared" si="91"/>
        <v>1092.3739210890255</v>
      </c>
      <c r="AF232" s="27">
        <f>(1/(2*LOG(3.7*$I232/'Calculation Constants'!$B$4*1000)))^2</f>
        <v>1.1575055557914658E-2</v>
      </c>
      <c r="AG232" s="19">
        <f t="shared" si="92"/>
        <v>1.6876908272744866</v>
      </c>
      <c r="AH232" s="19">
        <f>IF($H232&gt;0,'Calculation Constants'!$B$9*Hydraulics!$K232^2/2/9.81/MAX($F$4:$F$253)*$H232,"")</f>
        <v>7.8734226558858159E-2</v>
      </c>
      <c r="AI232" s="19">
        <f t="shared" si="102"/>
        <v>1.7664250538333448</v>
      </c>
      <c r="AJ232" s="19">
        <f t="shared" si="93"/>
        <v>0</v>
      </c>
      <c r="AK232" s="19">
        <f t="shared" si="103"/>
        <v>160.63584870873513</v>
      </c>
      <c r="AL232" s="23">
        <f t="shared" si="94"/>
        <v>1061.2658487087351</v>
      </c>
      <c r="AM232" s="22">
        <f>(1/(2*LOG(3.7*($I232-0.008)/'Calculation Constants'!$B$5*1000)))^2</f>
        <v>1.4709705891825043E-2</v>
      </c>
      <c r="AN232" s="19">
        <f t="shared" si="104"/>
        <v>2.1543104841910781</v>
      </c>
      <c r="AO232" s="19">
        <f>IF($H232&gt;0,'Calculation Constants'!$B$9*Hydraulics!$K232^2/2/9.81/MAX($F$4:$F$253)*$H232,"")</f>
        <v>7.8734226558858159E-2</v>
      </c>
      <c r="AP232" s="19">
        <f t="shared" si="105"/>
        <v>2.2330447107499363</v>
      </c>
      <c r="AQ232" s="19">
        <f t="shared" si="95"/>
        <v>0</v>
      </c>
      <c r="AR232" s="19">
        <f t="shared" si="106"/>
        <v>104.13604149069909</v>
      </c>
      <c r="AS232" s="23">
        <f t="shared" si="96"/>
        <v>1004.7660414906991</v>
      </c>
    </row>
    <row r="233" spans="5:45">
      <c r="E233" s="35" t="str">
        <f t="shared" si="82"/>
        <v/>
      </c>
      <c r="F233" s="19">
        <f>'Profile data'!A233</f>
        <v>460</v>
      </c>
      <c r="G233" s="19">
        <f>VLOOKUP(F233,'Profile data'!A233:C492,IF($B$22="Botswana 1",2,3))</f>
        <v>904.06600000000003</v>
      </c>
      <c r="H233" s="19">
        <f t="shared" si="107"/>
        <v>2</v>
      </c>
      <c r="I233" s="19">
        <v>1.8</v>
      </c>
      <c r="J233" s="36">
        <f>'Flow Rate Calculations'!$B$7</f>
        <v>4.0831050228310497</v>
      </c>
      <c r="K233" s="36">
        <f t="shared" si="97"/>
        <v>1.6045588828318709</v>
      </c>
      <c r="L233" s="37">
        <f>$I233*$K233/'Calculation Constants'!$B$7</f>
        <v>2555934.503625989</v>
      </c>
      <c r="M233" s="37" t="str">
        <f t="shared" si="83"/>
        <v>Greater Dynamic Pressures</v>
      </c>
      <c r="N233" s="23">
        <f t="shared" si="98"/>
        <v>206.0499348336939</v>
      </c>
      <c r="O233" s="56">
        <f t="shared" si="84"/>
        <v>186.79722362563234</v>
      </c>
      <c r="P233" s="65">
        <f>MAX(I233*1000/'Calculation Constants'!$B$14,O233*10*I233*1000/2/('Calculation Constants'!$B$12*1000*'Calculation Constants'!$B$13))</f>
        <v>11.25</v>
      </c>
      <c r="Q233" s="67">
        <f t="shared" si="85"/>
        <v>992548.40161508287</v>
      </c>
      <c r="R233" s="27">
        <f>(1/(2*LOG(3.7*$I233/'Calculation Constants'!$B$2*1000)))^2</f>
        <v>8.7463077071963571E-3</v>
      </c>
      <c r="S233" s="19">
        <f t="shared" si="99"/>
        <v>1.2752477269849725</v>
      </c>
      <c r="T233" s="19">
        <f>IF($H233&gt;0,'Calculation Constants'!$B$9*Hydraulics!$K233^2/2/9.81/MAX($F$4:$F$253)*$H233,"")</f>
        <v>7.8734226558858159E-2</v>
      </c>
      <c r="U233" s="19">
        <f t="shared" si="100"/>
        <v>1.3539819535438307</v>
      </c>
      <c r="V233" s="19">
        <f t="shared" si="86"/>
        <v>0</v>
      </c>
      <c r="W233" s="19">
        <f t="shared" si="87"/>
        <v>206.0499348336939</v>
      </c>
      <c r="X233" s="23">
        <f t="shared" si="88"/>
        <v>1110.1159348336939</v>
      </c>
      <c r="Y233" s="22">
        <f>(1/(2*LOG(3.7*$I233/'Calculation Constants'!$B$3*1000)))^2</f>
        <v>9.8211436332891755E-3</v>
      </c>
      <c r="Z233" s="19">
        <f t="shared" si="89"/>
        <v>1.431963236834217</v>
      </c>
      <c r="AA233" s="19">
        <f>IF($H233&gt;0,'Calculation Constants'!$B$9*Hydraulics!$K233^2/2/9.81/MAX($F$4:$F$253)*$H233,"")</f>
        <v>7.8734226558858159E-2</v>
      </c>
      <c r="AB233" s="19">
        <f t="shared" si="108"/>
        <v>1.5106974633930752</v>
      </c>
      <c r="AC233" s="19">
        <f t="shared" si="90"/>
        <v>0</v>
      </c>
      <c r="AD233" s="19">
        <f t="shared" si="101"/>
        <v>186.79722362563234</v>
      </c>
      <c r="AE233" s="23">
        <f t="shared" si="91"/>
        <v>1090.8632236256324</v>
      </c>
      <c r="AF233" s="27">
        <f>(1/(2*LOG(3.7*$I233/'Calculation Constants'!$B$4*1000)))^2</f>
        <v>1.1575055557914658E-2</v>
      </c>
      <c r="AG233" s="19">
        <f t="shared" si="92"/>
        <v>1.6876908272744866</v>
      </c>
      <c r="AH233" s="19">
        <f>IF($H233&gt;0,'Calculation Constants'!$B$9*Hydraulics!$K233^2/2/9.81/MAX($F$4:$F$253)*$H233,"")</f>
        <v>7.8734226558858159E-2</v>
      </c>
      <c r="AI233" s="19">
        <f t="shared" si="102"/>
        <v>1.7664250538333448</v>
      </c>
      <c r="AJ233" s="19">
        <f t="shared" si="93"/>
        <v>0</v>
      </c>
      <c r="AK233" s="19">
        <f t="shared" si="103"/>
        <v>155.43342365490184</v>
      </c>
      <c r="AL233" s="23">
        <f t="shared" si="94"/>
        <v>1059.4994236549019</v>
      </c>
      <c r="AM233" s="22">
        <f>(1/(2*LOG(3.7*($I233-0.008)/'Calculation Constants'!$B$5*1000)))^2</f>
        <v>1.4709705891825043E-2</v>
      </c>
      <c r="AN233" s="19">
        <f t="shared" si="104"/>
        <v>2.1543104841910781</v>
      </c>
      <c r="AO233" s="19">
        <f>IF($H233&gt;0,'Calculation Constants'!$B$9*Hydraulics!$K233^2/2/9.81/MAX($F$4:$F$253)*$H233,"")</f>
        <v>7.8734226558858159E-2</v>
      </c>
      <c r="AP233" s="19">
        <f t="shared" si="105"/>
        <v>2.2330447107499363</v>
      </c>
      <c r="AQ233" s="19">
        <f t="shared" si="95"/>
        <v>0</v>
      </c>
      <c r="AR233" s="19">
        <f t="shared" si="106"/>
        <v>98.466996779949113</v>
      </c>
      <c r="AS233" s="23">
        <f t="shared" si="96"/>
        <v>1002.5329967799491</v>
      </c>
    </row>
    <row r="234" spans="5:45">
      <c r="E234" s="35" t="str">
        <f t="shared" si="82"/>
        <v/>
      </c>
      <c r="F234" s="19">
        <f>'Profile data'!A234</f>
        <v>462</v>
      </c>
      <c r="G234" s="19">
        <f>VLOOKUP(F234,'Profile data'!A234:C493,IF($B$22="Botswana 1",2,3))</f>
        <v>915.09199999999998</v>
      </c>
      <c r="H234" s="19">
        <f t="shared" si="107"/>
        <v>2</v>
      </c>
      <c r="I234" s="19">
        <v>1.8</v>
      </c>
      <c r="J234" s="36">
        <f>'Flow Rate Calculations'!$B$7</f>
        <v>4.0831050228310497</v>
      </c>
      <c r="K234" s="36">
        <f t="shared" si="97"/>
        <v>1.6045588828318709</v>
      </c>
      <c r="L234" s="37">
        <f>$I234*$K234/'Calculation Constants'!$B$7</f>
        <v>2555934.503625989</v>
      </c>
      <c r="M234" s="37" t="str">
        <f t="shared" si="83"/>
        <v>Greater Dynamic Pressures</v>
      </c>
      <c r="N234" s="23">
        <f t="shared" si="98"/>
        <v>193.66995288015016</v>
      </c>
      <c r="O234" s="56">
        <f t="shared" si="84"/>
        <v>174.26052616223922</v>
      </c>
      <c r="P234" s="65">
        <f>MAX(I234*1000/'Calculation Constants'!$B$14,O234*10*I234*1000/2/('Calculation Constants'!$B$12*1000*'Calculation Constants'!$B$13))</f>
        <v>11.25</v>
      </c>
      <c r="Q234" s="67">
        <f t="shared" si="85"/>
        <v>992548.40161508287</v>
      </c>
      <c r="R234" s="27">
        <f>(1/(2*LOG(3.7*$I234/'Calculation Constants'!$B$2*1000)))^2</f>
        <v>8.7463077071963571E-3</v>
      </c>
      <c r="S234" s="19">
        <f t="shared" si="99"/>
        <v>1.2752477269849725</v>
      </c>
      <c r="T234" s="19">
        <f>IF($H234&gt;0,'Calculation Constants'!$B$9*Hydraulics!$K234^2/2/9.81/MAX($F$4:$F$253)*$H234,"")</f>
        <v>7.8734226558858159E-2</v>
      </c>
      <c r="U234" s="19">
        <f t="shared" si="100"/>
        <v>1.3539819535438307</v>
      </c>
      <c r="V234" s="19">
        <f t="shared" si="86"/>
        <v>0</v>
      </c>
      <c r="W234" s="19">
        <f t="shared" si="87"/>
        <v>193.66995288015016</v>
      </c>
      <c r="X234" s="23">
        <f t="shared" si="88"/>
        <v>1108.7619528801501</v>
      </c>
      <c r="Y234" s="22">
        <f>(1/(2*LOG(3.7*$I234/'Calculation Constants'!$B$3*1000)))^2</f>
        <v>9.8211436332891755E-3</v>
      </c>
      <c r="Z234" s="19">
        <f t="shared" si="89"/>
        <v>1.431963236834217</v>
      </c>
      <c r="AA234" s="19">
        <f>IF($H234&gt;0,'Calculation Constants'!$B$9*Hydraulics!$K234^2/2/9.81/MAX($F$4:$F$253)*$H234,"")</f>
        <v>7.8734226558858159E-2</v>
      </c>
      <c r="AB234" s="19">
        <f t="shared" si="108"/>
        <v>1.5106974633930752</v>
      </c>
      <c r="AC234" s="19">
        <f t="shared" si="90"/>
        <v>0</v>
      </c>
      <c r="AD234" s="19">
        <f t="shared" si="101"/>
        <v>174.26052616223922</v>
      </c>
      <c r="AE234" s="23">
        <f t="shared" si="91"/>
        <v>1089.3525261622392</v>
      </c>
      <c r="AF234" s="27">
        <f>(1/(2*LOG(3.7*$I234/'Calculation Constants'!$B$4*1000)))^2</f>
        <v>1.1575055557914658E-2</v>
      </c>
      <c r="AG234" s="19">
        <f t="shared" si="92"/>
        <v>1.6876908272744866</v>
      </c>
      <c r="AH234" s="19">
        <f>IF($H234&gt;0,'Calculation Constants'!$B$9*Hydraulics!$K234^2/2/9.81/MAX($F$4:$F$253)*$H234,"")</f>
        <v>7.8734226558858159E-2</v>
      </c>
      <c r="AI234" s="19">
        <f t="shared" si="102"/>
        <v>1.7664250538333448</v>
      </c>
      <c r="AJ234" s="19">
        <f t="shared" si="93"/>
        <v>0</v>
      </c>
      <c r="AK234" s="19">
        <f t="shared" si="103"/>
        <v>142.64099860106865</v>
      </c>
      <c r="AL234" s="23">
        <f t="shared" si="94"/>
        <v>1057.7329986010686</v>
      </c>
      <c r="AM234" s="22">
        <f>(1/(2*LOG(3.7*($I234-0.008)/'Calculation Constants'!$B$5*1000)))^2</f>
        <v>1.4709705891825043E-2</v>
      </c>
      <c r="AN234" s="19">
        <f t="shared" si="104"/>
        <v>2.1543104841910781</v>
      </c>
      <c r="AO234" s="19">
        <f>IF($H234&gt;0,'Calculation Constants'!$B$9*Hydraulics!$K234^2/2/9.81/MAX($F$4:$F$253)*$H234,"")</f>
        <v>7.8734226558858159E-2</v>
      </c>
      <c r="AP234" s="19">
        <f t="shared" si="105"/>
        <v>2.2330447107499363</v>
      </c>
      <c r="AQ234" s="19">
        <f t="shared" si="95"/>
        <v>0</v>
      </c>
      <c r="AR234" s="19">
        <f t="shared" si="106"/>
        <v>85.207952069199223</v>
      </c>
      <c r="AS234" s="23">
        <f t="shared" si="96"/>
        <v>1000.2999520691992</v>
      </c>
    </row>
    <row r="235" spans="5:45">
      <c r="E235" s="35" t="str">
        <f t="shared" si="82"/>
        <v/>
      </c>
      <c r="F235" s="19">
        <f>'Profile data'!A235</f>
        <v>464</v>
      </c>
      <c r="G235" s="19">
        <f>VLOOKUP(F235,'Profile data'!A235:C494,IF($B$22="Botswana 1",2,3))</f>
        <v>905.55600000000004</v>
      </c>
      <c r="H235" s="19">
        <f t="shared" si="107"/>
        <v>2</v>
      </c>
      <c r="I235" s="19">
        <v>1.8</v>
      </c>
      <c r="J235" s="36">
        <f>'Flow Rate Calculations'!$B$7</f>
        <v>4.0831050228310497</v>
      </c>
      <c r="K235" s="36">
        <f t="shared" si="97"/>
        <v>1.6045588828318709</v>
      </c>
      <c r="L235" s="37">
        <f>$I235*$K235/'Calculation Constants'!$B$7</f>
        <v>2555934.503625989</v>
      </c>
      <c r="M235" s="37" t="str">
        <f t="shared" si="83"/>
        <v>Greater Dynamic Pressures</v>
      </c>
      <c r="N235" s="23">
        <f t="shared" si="98"/>
        <v>201.85197092660633</v>
      </c>
      <c r="O235" s="56">
        <f t="shared" si="84"/>
        <v>182.28582869884599</v>
      </c>
      <c r="P235" s="65">
        <f>MAX(I235*1000/'Calculation Constants'!$B$14,O235*10*I235*1000/2/('Calculation Constants'!$B$12*1000*'Calculation Constants'!$B$13))</f>
        <v>11.25</v>
      </c>
      <c r="Q235" s="67">
        <f t="shared" si="85"/>
        <v>992548.40161508287</v>
      </c>
      <c r="R235" s="27">
        <f>(1/(2*LOG(3.7*$I235/'Calculation Constants'!$B$2*1000)))^2</f>
        <v>8.7463077071963571E-3</v>
      </c>
      <c r="S235" s="19">
        <f t="shared" si="99"/>
        <v>1.2752477269849725</v>
      </c>
      <c r="T235" s="19">
        <f>IF($H235&gt;0,'Calculation Constants'!$B$9*Hydraulics!$K235^2/2/9.81/MAX($F$4:$F$253)*$H235,"")</f>
        <v>7.8734226558858159E-2</v>
      </c>
      <c r="U235" s="19">
        <f t="shared" si="100"/>
        <v>1.3539819535438307</v>
      </c>
      <c r="V235" s="19">
        <f t="shared" si="86"/>
        <v>0</v>
      </c>
      <c r="W235" s="19">
        <f t="shared" si="87"/>
        <v>201.85197092660633</v>
      </c>
      <c r="X235" s="23">
        <f t="shared" si="88"/>
        <v>1107.4079709266064</v>
      </c>
      <c r="Y235" s="22">
        <f>(1/(2*LOG(3.7*$I235/'Calculation Constants'!$B$3*1000)))^2</f>
        <v>9.8211436332891755E-3</v>
      </c>
      <c r="Z235" s="19">
        <f t="shared" si="89"/>
        <v>1.431963236834217</v>
      </c>
      <c r="AA235" s="19">
        <f>IF($H235&gt;0,'Calculation Constants'!$B$9*Hydraulics!$K235^2/2/9.81/MAX($F$4:$F$253)*$H235,"")</f>
        <v>7.8734226558858159E-2</v>
      </c>
      <c r="AB235" s="19">
        <f t="shared" si="108"/>
        <v>1.5106974633930752</v>
      </c>
      <c r="AC235" s="19">
        <f t="shared" si="90"/>
        <v>0</v>
      </c>
      <c r="AD235" s="19">
        <f t="shared" si="101"/>
        <v>182.28582869884599</v>
      </c>
      <c r="AE235" s="23">
        <f t="shared" si="91"/>
        <v>1087.841828698846</v>
      </c>
      <c r="AF235" s="27">
        <f>(1/(2*LOG(3.7*$I235/'Calculation Constants'!$B$4*1000)))^2</f>
        <v>1.1575055557914658E-2</v>
      </c>
      <c r="AG235" s="19">
        <f t="shared" si="92"/>
        <v>1.6876908272744866</v>
      </c>
      <c r="AH235" s="19">
        <f>IF($H235&gt;0,'Calculation Constants'!$B$9*Hydraulics!$K235^2/2/9.81/MAX($F$4:$F$253)*$H235,"")</f>
        <v>7.8734226558858159E-2</v>
      </c>
      <c r="AI235" s="19">
        <f t="shared" si="102"/>
        <v>1.7664250538333448</v>
      </c>
      <c r="AJ235" s="19">
        <f t="shared" si="93"/>
        <v>0</v>
      </c>
      <c r="AK235" s="19">
        <f t="shared" si="103"/>
        <v>150.41057354723534</v>
      </c>
      <c r="AL235" s="23">
        <f t="shared" si="94"/>
        <v>1055.9665735472354</v>
      </c>
      <c r="AM235" s="22">
        <f>(1/(2*LOG(3.7*($I235-0.008)/'Calculation Constants'!$B$5*1000)))^2</f>
        <v>1.4709705891825043E-2</v>
      </c>
      <c r="AN235" s="19">
        <f t="shared" si="104"/>
        <v>2.1543104841910781</v>
      </c>
      <c r="AO235" s="19">
        <f>IF($H235&gt;0,'Calculation Constants'!$B$9*Hydraulics!$K235^2/2/9.81/MAX($F$4:$F$253)*$H235,"")</f>
        <v>7.8734226558858159E-2</v>
      </c>
      <c r="AP235" s="19">
        <f t="shared" si="105"/>
        <v>2.2330447107499363</v>
      </c>
      <c r="AQ235" s="19">
        <f t="shared" si="95"/>
        <v>0</v>
      </c>
      <c r="AR235" s="19">
        <f t="shared" si="106"/>
        <v>92.510907358449231</v>
      </c>
      <c r="AS235" s="23">
        <f t="shared" si="96"/>
        <v>998.06690735844927</v>
      </c>
    </row>
    <row r="236" spans="5:45">
      <c r="E236" s="35" t="str">
        <f t="shared" si="82"/>
        <v/>
      </c>
      <c r="F236" s="19">
        <f>'Profile data'!A236</f>
        <v>466</v>
      </c>
      <c r="G236" s="19">
        <f>VLOOKUP(F236,'Profile data'!A236:C495,IF($B$22="Botswana 1",2,3))</f>
        <v>905.27099999999996</v>
      </c>
      <c r="H236" s="19">
        <f t="shared" si="107"/>
        <v>2</v>
      </c>
      <c r="I236" s="19">
        <v>1.8</v>
      </c>
      <c r="J236" s="36">
        <f>'Flow Rate Calculations'!$B$7</f>
        <v>4.0831050228310497</v>
      </c>
      <c r="K236" s="36">
        <f t="shared" si="97"/>
        <v>1.6045588828318709</v>
      </c>
      <c r="L236" s="37">
        <f>$I236*$K236/'Calculation Constants'!$B$7</f>
        <v>2555934.503625989</v>
      </c>
      <c r="M236" s="37" t="str">
        <f t="shared" si="83"/>
        <v>Greater Dynamic Pressures</v>
      </c>
      <c r="N236" s="23">
        <f t="shared" si="98"/>
        <v>200.78298897306263</v>
      </c>
      <c r="O236" s="56">
        <f t="shared" si="84"/>
        <v>181.0601312354529</v>
      </c>
      <c r="P236" s="65">
        <f>MAX(I236*1000/'Calculation Constants'!$B$14,O236*10*I236*1000/2/('Calculation Constants'!$B$12*1000*'Calculation Constants'!$B$13))</f>
        <v>11.25</v>
      </c>
      <c r="Q236" s="67">
        <f t="shared" si="85"/>
        <v>992548.40161508287</v>
      </c>
      <c r="R236" s="27">
        <f>(1/(2*LOG(3.7*$I236/'Calculation Constants'!$B$2*1000)))^2</f>
        <v>8.7463077071963571E-3</v>
      </c>
      <c r="S236" s="19">
        <f t="shared" si="99"/>
        <v>1.2752477269849725</v>
      </c>
      <c r="T236" s="19">
        <f>IF($H236&gt;0,'Calculation Constants'!$B$9*Hydraulics!$K236^2/2/9.81/MAX($F$4:$F$253)*$H236,"")</f>
        <v>7.8734226558858159E-2</v>
      </c>
      <c r="U236" s="19">
        <f t="shared" si="100"/>
        <v>1.3539819535438307</v>
      </c>
      <c r="V236" s="19">
        <f t="shared" si="86"/>
        <v>0</v>
      </c>
      <c r="W236" s="19">
        <f t="shared" si="87"/>
        <v>200.78298897306263</v>
      </c>
      <c r="X236" s="23">
        <f t="shared" si="88"/>
        <v>1106.0539889730626</v>
      </c>
      <c r="Y236" s="22">
        <f>(1/(2*LOG(3.7*$I236/'Calculation Constants'!$B$3*1000)))^2</f>
        <v>9.8211436332891755E-3</v>
      </c>
      <c r="Z236" s="19">
        <f t="shared" si="89"/>
        <v>1.431963236834217</v>
      </c>
      <c r="AA236" s="19">
        <f>IF($H236&gt;0,'Calculation Constants'!$B$9*Hydraulics!$K236^2/2/9.81/MAX($F$4:$F$253)*$H236,"")</f>
        <v>7.8734226558858159E-2</v>
      </c>
      <c r="AB236" s="19">
        <f t="shared" si="108"/>
        <v>1.5106974633930752</v>
      </c>
      <c r="AC236" s="19">
        <f t="shared" si="90"/>
        <v>0</v>
      </c>
      <c r="AD236" s="19">
        <f t="shared" si="101"/>
        <v>181.0601312354529</v>
      </c>
      <c r="AE236" s="23">
        <f t="shared" si="91"/>
        <v>1086.3311312354529</v>
      </c>
      <c r="AF236" s="27">
        <f>(1/(2*LOG(3.7*$I236/'Calculation Constants'!$B$4*1000)))^2</f>
        <v>1.1575055557914658E-2</v>
      </c>
      <c r="AG236" s="19">
        <f t="shared" si="92"/>
        <v>1.6876908272744866</v>
      </c>
      <c r="AH236" s="19">
        <f>IF($H236&gt;0,'Calculation Constants'!$B$9*Hydraulics!$K236^2/2/9.81/MAX($F$4:$F$253)*$H236,"")</f>
        <v>7.8734226558858159E-2</v>
      </c>
      <c r="AI236" s="19">
        <f t="shared" si="102"/>
        <v>1.7664250538333448</v>
      </c>
      <c r="AJ236" s="19">
        <f t="shared" si="93"/>
        <v>0</v>
      </c>
      <c r="AK236" s="19">
        <f t="shared" si="103"/>
        <v>148.92914849340218</v>
      </c>
      <c r="AL236" s="23">
        <f t="shared" si="94"/>
        <v>1054.2001484934021</v>
      </c>
      <c r="AM236" s="22">
        <f>(1/(2*LOG(3.7*($I236-0.008)/'Calculation Constants'!$B$5*1000)))^2</f>
        <v>1.4709705891825043E-2</v>
      </c>
      <c r="AN236" s="19">
        <f t="shared" si="104"/>
        <v>2.1543104841910781</v>
      </c>
      <c r="AO236" s="19">
        <f>IF($H236&gt;0,'Calculation Constants'!$B$9*Hydraulics!$K236^2/2/9.81/MAX($F$4:$F$253)*$H236,"")</f>
        <v>7.8734226558858159E-2</v>
      </c>
      <c r="AP236" s="19">
        <f t="shared" si="105"/>
        <v>2.2330447107499363</v>
      </c>
      <c r="AQ236" s="19">
        <f t="shared" si="95"/>
        <v>0</v>
      </c>
      <c r="AR236" s="19">
        <f t="shared" si="106"/>
        <v>90.562862647699376</v>
      </c>
      <c r="AS236" s="23">
        <f t="shared" si="96"/>
        <v>995.83386264769933</v>
      </c>
    </row>
    <row r="237" spans="5:45">
      <c r="E237" s="35" t="str">
        <f t="shared" si="82"/>
        <v/>
      </c>
      <c r="F237" s="19">
        <f>'Profile data'!A237</f>
        <v>468</v>
      </c>
      <c r="G237" s="19">
        <f>VLOOKUP(F237,'Profile data'!A237:C496,IF($B$22="Botswana 1",2,3))</f>
        <v>901.91800000000001</v>
      </c>
      <c r="H237" s="19">
        <f t="shared" si="107"/>
        <v>2</v>
      </c>
      <c r="I237" s="19">
        <v>1.8</v>
      </c>
      <c r="J237" s="36">
        <f>'Flow Rate Calculations'!$B$7</f>
        <v>4.0831050228310497</v>
      </c>
      <c r="K237" s="36">
        <f t="shared" si="97"/>
        <v>1.6045588828318709</v>
      </c>
      <c r="L237" s="37">
        <f>$I237*$K237/'Calculation Constants'!$B$7</f>
        <v>2555934.503625989</v>
      </c>
      <c r="M237" s="37" t="str">
        <f t="shared" si="83"/>
        <v>Greater Dynamic Pressures</v>
      </c>
      <c r="N237" s="23">
        <f t="shared" si="98"/>
        <v>202.7820070195188</v>
      </c>
      <c r="O237" s="56">
        <f t="shared" si="84"/>
        <v>182.90243377205968</v>
      </c>
      <c r="P237" s="65">
        <f>MAX(I237*1000/'Calculation Constants'!$B$14,O237*10*I237*1000/2/('Calculation Constants'!$B$12*1000*'Calculation Constants'!$B$13))</f>
        <v>11.25</v>
      </c>
      <c r="Q237" s="67">
        <f t="shared" si="85"/>
        <v>992548.40161508287</v>
      </c>
      <c r="R237" s="27">
        <f>(1/(2*LOG(3.7*$I237/'Calculation Constants'!$B$2*1000)))^2</f>
        <v>8.7463077071963571E-3</v>
      </c>
      <c r="S237" s="19">
        <f t="shared" si="99"/>
        <v>1.2752477269849725</v>
      </c>
      <c r="T237" s="19">
        <f>IF($H237&gt;0,'Calculation Constants'!$B$9*Hydraulics!$K237^2/2/9.81/MAX($F$4:$F$253)*$H237,"")</f>
        <v>7.8734226558858159E-2</v>
      </c>
      <c r="U237" s="19">
        <f t="shared" si="100"/>
        <v>1.3539819535438307</v>
      </c>
      <c r="V237" s="19">
        <f t="shared" si="86"/>
        <v>0</v>
      </c>
      <c r="W237" s="19">
        <f t="shared" si="87"/>
        <v>202.7820070195188</v>
      </c>
      <c r="X237" s="23">
        <f t="shared" si="88"/>
        <v>1104.7000070195188</v>
      </c>
      <c r="Y237" s="22">
        <f>(1/(2*LOG(3.7*$I237/'Calculation Constants'!$B$3*1000)))^2</f>
        <v>9.8211436332891755E-3</v>
      </c>
      <c r="Z237" s="19">
        <f t="shared" si="89"/>
        <v>1.431963236834217</v>
      </c>
      <c r="AA237" s="19">
        <f>IF($H237&gt;0,'Calculation Constants'!$B$9*Hydraulics!$K237^2/2/9.81/MAX($F$4:$F$253)*$H237,"")</f>
        <v>7.8734226558858159E-2</v>
      </c>
      <c r="AB237" s="19">
        <f t="shared" si="108"/>
        <v>1.5106974633930752</v>
      </c>
      <c r="AC237" s="19">
        <f t="shared" si="90"/>
        <v>0</v>
      </c>
      <c r="AD237" s="19">
        <f t="shared" si="101"/>
        <v>182.90243377205968</v>
      </c>
      <c r="AE237" s="23">
        <f t="shared" si="91"/>
        <v>1084.8204337720597</v>
      </c>
      <c r="AF237" s="27">
        <f>(1/(2*LOG(3.7*$I237/'Calculation Constants'!$B$4*1000)))^2</f>
        <v>1.1575055557914658E-2</v>
      </c>
      <c r="AG237" s="19">
        <f t="shared" si="92"/>
        <v>1.6876908272744866</v>
      </c>
      <c r="AH237" s="19">
        <f>IF($H237&gt;0,'Calculation Constants'!$B$9*Hydraulics!$K237^2/2/9.81/MAX($F$4:$F$253)*$H237,"")</f>
        <v>7.8734226558858159E-2</v>
      </c>
      <c r="AI237" s="19">
        <f t="shared" si="102"/>
        <v>1.7664250538333448</v>
      </c>
      <c r="AJ237" s="19">
        <f t="shared" si="93"/>
        <v>0</v>
      </c>
      <c r="AK237" s="19">
        <f t="shared" si="103"/>
        <v>150.51572343956889</v>
      </c>
      <c r="AL237" s="23">
        <f t="shared" si="94"/>
        <v>1052.4337234395689</v>
      </c>
      <c r="AM237" s="22">
        <f>(1/(2*LOG(3.7*($I237-0.008)/'Calculation Constants'!$B$5*1000)))^2</f>
        <v>1.4709705891825043E-2</v>
      </c>
      <c r="AN237" s="19">
        <f t="shared" si="104"/>
        <v>2.1543104841910781</v>
      </c>
      <c r="AO237" s="19">
        <f>IF($H237&gt;0,'Calculation Constants'!$B$9*Hydraulics!$K237^2/2/9.81/MAX($F$4:$F$253)*$H237,"")</f>
        <v>7.8734226558858159E-2</v>
      </c>
      <c r="AP237" s="19">
        <f t="shared" si="105"/>
        <v>2.2330447107499363</v>
      </c>
      <c r="AQ237" s="19">
        <f t="shared" si="95"/>
        <v>0</v>
      </c>
      <c r="AR237" s="19">
        <f t="shared" si="106"/>
        <v>91.682817936949391</v>
      </c>
      <c r="AS237" s="23">
        <f t="shared" si="96"/>
        <v>993.6008179369494</v>
      </c>
    </row>
    <row r="238" spans="5:45">
      <c r="E238" s="35" t="str">
        <f t="shared" si="82"/>
        <v/>
      </c>
      <c r="F238" s="19">
        <f>'Profile data'!A238</f>
        <v>470</v>
      </c>
      <c r="G238" s="19">
        <f>VLOOKUP(F238,'Profile data'!A238:C497,IF($B$22="Botswana 1",2,3))</f>
        <v>895.65099999999995</v>
      </c>
      <c r="H238" s="19">
        <f t="shared" si="107"/>
        <v>2</v>
      </c>
      <c r="I238" s="19">
        <v>1.8</v>
      </c>
      <c r="J238" s="36">
        <f>'Flow Rate Calculations'!$B$7</f>
        <v>4.0831050228310497</v>
      </c>
      <c r="K238" s="36">
        <f t="shared" si="97"/>
        <v>1.6045588828318709</v>
      </c>
      <c r="L238" s="37">
        <f>$I238*$K238/'Calculation Constants'!$B$7</f>
        <v>2555934.503625989</v>
      </c>
      <c r="M238" s="37" t="str">
        <f t="shared" si="83"/>
        <v>Greater Dynamic Pressures</v>
      </c>
      <c r="N238" s="23">
        <f t="shared" si="98"/>
        <v>207.69502506597507</v>
      </c>
      <c r="O238" s="56">
        <f t="shared" si="84"/>
        <v>187.65873630866656</v>
      </c>
      <c r="P238" s="65">
        <f>MAX(I238*1000/'Calculation Constants'!$B$14,O238*10*I238*1000/2/('Calculation Constants'!$B$12*1000*'Calculation Constants'!$B$13))</f>
        <v>11.259524178519994</v>
      </c>
      <c r="Q238" s="67">
        <f t="shared" si="85"/>
        <v>993383.39749897108</v>
      </c>
      <c r="R238" s="27">
        <f>(1/(2*LOG(3.7*$I238/'Calculation Constants'!$B$2*1000)))^2</f>
        <v>8.7463077071963571E-3</v>
      </c>
      <c r="S238" s="19">
        <f t="shared" si="99"/>
        <v>1.2752477269849725</v>
      </c>
      <c r="T238" s="19">
        <f>IF($H238&gt;0,'Calculation Constants'!$B$9*Hydraulics!$K238^2/2/9.81/MAX($F$4:$F$253)*$H238,"")</f>
        <v>7.8734226558858159E-2</v>
      </c>
      <c r="U238" s="19">
        <f t="shared" si="100"/>
        <v>1.3539819535438307</v>
      </c>
      <c r="V238" s="19">
        <f t="shared" si="86"/>
        <v>0</v>
      </c>
      <c r="W238" s="19">
        <f t="shared" si="87"/>
        <v>207.69502506597507</v>
      </c>
      <c r="X238" s="23">
        <f t="shared" si="88"/>
        <v>1103.346025065975</v>
      </c>
      <c r="Y238" s="22">
        <f>(1/(2*LOG(3.7*$I238/'Calculation Constants'!$B$3*1000)))^2</f>
        <v>9.8211436332891755E-3</v>
      </c>
      <c r="Z238" s="19">
        <f t="shared" si="89"/>
        <v>1.431963236834217</v>
      </c>
      <c r="AA238" s="19">
        <f>IF($H238&gt;0,'Calculation Constants'!$B$9*Hydraulics!$K238^2/2/9.81/MAX($F$4:$F$253)*$H238,"")</f>
        <v>7.8734226558858159E-2</v>
      </c>
      <c r="AB238" s="19">
        <f t="shared" si="108"/>
        <v>1.5106974633930752</v>
      </c>
      <c r="AC238" s="19">
        <f t="shared" si="90"/>
        <v>0</v>
      </c>
      <c r="AD238" s="19">
        <f t="shared" si="101"/>
        <v>187.65873630866656</v>
      </c>
      <c r="AE238" s="23">
        <f t="shared" si="91"/>
        <v>1083.3097363086665</v>
      </c>
      <c r="AF238" s="27">
        <f>(1/(2*LOG(3.7*$I238/'Calculation Constants'!$B$4*1000)))^2</f>
        <v>1.1575055557914658E-2</v>
      </c>
      <c r="AG238" s="19">
        <f t="shared" si="92"/>
        <v>1.6876908272744866</v>
      </c>
      <c r="AH238" s="19">
        <f>IF($H238&gt;0,'Calculation Constants'!$B$9*Hydraulics!$K238^2/2/9.81/MAX($F$4:$F$253)*$H238,"")</f>
        <v>7.8734226558858159E-2</v>
      </c>
      <c r="AI238" s="19">
        <f t="shared" si="102"/>
        <v>1.7664250538333448</v>
      </c>
      <c r="AJ238" s="19">
        <f t="shared" si="93"/>
        <v>0</v>
      </c>
      <c r="AK238" s="19">
        <f t="shared" si="103"/>
        <v>155.01629838573569</v>
      </c>
      <c r="AL238" s="23">
        <f t="shared" si="94"/>
        <v>1050.6672983857356</v>
      </c>
      <c r="AM238" s="22">
        <f>(1/(2*LOG(3.7*($I238-0.008)/'Calculation Constants'!$B$5*1000)))^2</f>
        <v>1.4709705891825043E-2</v>
      </c>
      <c r="AN238" s="19">
        <f t="shared" si="104"/>
        <v>2.1543104841910781</v>
      </c>
      <c r="AO238" s="19">
        <f>IF($H238&gt;0,'Calculation Constants'!$B$9*Hydraulics!$K238^2/2/9.81/MAX($F$4:$F$253)*$H238,"")</f>
        <v>7.8734226558858159E-2</v>
      </c>
      <c r="AP238" s="19">
        <f t="shared" si="105"/>
        <v>2.2330447107499363</v>
      </c>
      <c r="AQ238" s="19">
        <f t="shared" si="95"/>
        <v>0</v>
      </c>
      <c r="AR238" s="19">
        <f t="shared" si="106"/>
        <v>95.716773226199507</v>
      </c>
      <c r="AS238" s="23">
        <f t="shared" si="96"/>
        <v>991.36777322619946</v>
      </c>
    </row>
    <row r="239" spans="5:45">
      <c r="E239" s="35" t="str">
        <f t="shared" si="82"/>
        <v/>
      </c>
      <c r="F239" s="19">
        <f>'Profile data'!A239</f>
        <v>472</v>
      </c>
      <c r="G239" s="19">
        <f>VLOOKUP(F239,'Profile data'!A239:C498,IF($B$22="Botswana 1",2,3))</f>
        <v>892.30399999999997</v>
      </c>
      <c r="H239" s="19">
        <f t="shared" si="107"/>
        <v>2</v>
      </c>
      <c r="I239" s="19">
        <v>1.8</v>
      </c>
      <c r="J239" s="36">
        <f>'Flow Rate Calculations'!$B$7</f>
        <v>4.0831050228310497</v>
      </c>
      <c r="K239" s="36">
        <f t="shared" si="97"/>
        <v>1.6045588828318709</v>
      </c>
      <c r="L239" s="37">
        <f>$I239*$K239/'Calculation Constants'!$B$7</f>
        <v>2555934.503625989</v>
      </c>
      <c r="M239" s="37" t="str">
        <f t="shared" si="83"/>
        <v>Greater Dynamic Pressures</v>
      </c>
      <c r="N239" s="23">
        <f t="shared" si="98"/>
        <v>209.68804311243127</v>
      </c>
      <c r="O239" s="56">
        <f t="shared" si="84"/>
        <v>189.49503884527337</v>
      </c>
      <c r="P239" s="65">
        <f>MAX(I239*1000/'Calculation Constants'!$B$14,O239*10*I239*1000/2/('Calculation Constants'!$B$12*1000*'Calculation Constants'!$B$13))</f>
        <v>11.369702330716402</v>
      </c>
      <c r="Q239" s="67">
        <f t="shared" si="85"/>
        <v>1003042.1946228788</v>
      </c>
      <c r="R239" s="27">
        <f>(1/(2*LOG(3.7*$I239/'Calculation Constants'!$B$2*1000)))^2</f>
        <v>8.7463077071963571E-3</v>
      </c>
      <c r="S239" s="19">
        <f t="shared" si="99"/>
        <v>1.2752477269849725</v>
      </c>
      <c r="T239" s="19">
        <f>IF($H239&gt;0,'Calculation Constants'!$B$9*Hydraulics!$K239^2/2/9.81/MAX($F$4:$F$253)*$H239,"")</f>
        <v>7.8734226558858159E-2</v>
      </c>
      <c r="U239" s="19">
        <f t="shared" si="100"/>
        <v>1.3539819535438307</v>
      </c>
      <c r="V239" s="19">
        <f t="shared" si="86"/>
        <v>0</v>
      </c>
      <c r="W239" s="19">
        <f t="shared" si="87"/>
        <v>209.68804311243127</v>
      </c>
      <c r="X239" s="23">
        <f t="shared" si="88"/>
        <v>1101.9920431124312</v>
      </c>
      <c r="Y239" s="22">
        <f>(1/(2*LOG(3.7*$I239/'Calculation Constants'!$B$3*1000)))^2</f>
        <v>9.8211436332891755E-3</v>
      </c>
      <c r="Z239" s="19">
        <f t="shared" si="89"/>
        <v>1.431963236834217</v>
      </c>
      <c r="AA239" s="19">
        <f>IF($H239&gt;0,'Calculation Constants'!$B$9*Hydraulics!$K239^2/2/9.81/MAX($F$4:$F$253)*$H239,"")</f>
        <v>7.8734226558858159E-2</v>
      </c>
      <c r="AB239" s="19">
        <f t="shared" si="108"/>
        <v>1.5106974633930752</v>
      </c>
      <c r="AC239" s="19">
        <f t="shared" si="90"/>
        <v>0</v>
      </c>
      <c r="AD239" s="19">
        <f t="shared" si="101"/>
        <v>189.49503884527337</v>
      </c>
      <c r="AE239" s="23">
        <f t="shared" si="91"/>
        <v>1081.7990388452733</v>
      </c>
      <c r="AF239" s="27">
        <f>(1/(2*LOG(3.7*$I239/'Calculation Constants'!$B$4*1000)))^2</f>
        <v>1.1575055557914658E-2</v>
      </c>
      <c r="AG239" s="19">
        <f t="shared" si="92"/>
        <v>1.6876908272744866</v>
      </c>
      <c r="AH239" s="19">
        <f>IF($H239&gt;0,'Calculation Constants'!$B$9*Hydraulics!$K239^2/2/9.81/MAX($F$4:$F$253)*$H239,"")</f>
        <v>7.8734226558858159E-2</v>
      </c>
      <c r="AI239" s="19">
        <f t="shared" si="102"/>
        <v>1.7664250538333448</v>
      </c>
      <c r="AJ239" s="19">
        <f t="shared" si="93"/>
        <v>0</v>
      </c>
      <c r="AK239" s="19">
        <f t="shared" si="103"/>
        <v>156.59687333190243</v>
      </c>
      <c r="AL239" s="23">
        <f t="shared" si="94"/>
        <v>1048.9008733319024</v>
      </c>
      <c r="AM239" s="22">
        <f>(1/(2*LOG(3.7*($I239-0.008)/'Calculation Constants'!$B$5*1000)))^2</f>
        <v>1.4709705891825043E-2</v>
      </c>
      <c r="AN239" s="19">
        <f t="shared" si="104"/>
        <v>2.1543104841910781</v>
      </c>
      <c r="AO239" s="19">
        <f>IF($H239&gt;0,'Calculation Constants'!$B$9*Hydraulics!$K239^2/2/9.81/MAX($F$4:$F$253)*$H239,"")</f>
        <v>7.8734226558858159E-2</v>
      </c>
      <c r="AP239" s="19">
        <f t="shared" si="105"/>
        <v>2.2330447107499363</v>
      </c>
      <c r="AQ239" s="19">
        <f t="shared" si="95"/>
        <v>0</v>
      </c>
      <c r="AR239" s="19">
        <f t="shared" si="106"/>
        <v>96.83072851544955</v>
      </c>
      <c r="AS239" s="23">
        <f t="shared" si="96"/>
        <v>989.13472851544952</v>
      </c>
    </row>
    <row r="240" spans="5:45">
      <c r="E240" s="35" t="str">
        <f t="shared" si="82"/>
        <v/>
      </c>
      <c r="F240" s="19">
        <f>'Profile data'!A240</f>
        <v>474</v>
      </c>
      <c r="G240" s="19">
        <f>VLOOKUP(F240,'Profile data'!A240:C499,IF($B$22="Botswana 1",2,3))</f>
        <v>895.279</v>
      </c>
      <c r="H240" s="19">
        <f t="shared" si="107"/>
        <v>2</v>
      </c>
      <c r="I240" s="19">
        <v>1.8</v>
      </c>
      <c r="J240" s="36">
        <f>'Flow Rate Calculations'!$B$7</f>
        <v>4.0831050228310497</v>
      </c>
      <c r="K240" s="36">
        <f t="shared" si="97"/>
        <v>1.6045588828318709</v>
      </c>
      <c r="L240" s="37">
        <f>$I240*$K240/'Calculation Constants'!$B$7</f>
        <v>2555934.503625989</v>
      </c>
      <c r="M240" s="37" t="str">
        <f t="shared" si="83"/>
        <v>Greater Dynamic Pressures</v>
      </c>
      <c r="N240" s="23">
        <f t="shared" si="98"/>
        <v>205.35906115888747</v>
      </c>
      <c r="O240" s="56">
        <f t="shared" si="84"/>
        <v>185.00934138188018</v>
      </c>
      <c r="P240" s="65">
        <f>MAX(I240*1000/'Calculation Constants'!$B$14,O240*10*I240*1000/2/('Calculation Constants'!$B$12*1000*'Calculation Constants'!$B$13))</f>
        <v>11.25</v>
      </c>
      <c r="Q240" s="67">
        <f t="shared" si="85"/>
        <v>992548.40161508287</v>
      </c>
      <c r="R240" s="27">
        <f>(1/(2*LOG(3.7*$I240/'Calculation Constants'!$B$2*1000)))^2</f>
        <v>8.7463077071963571E-3</v>
      </c>
      <c r="S240" s="19">
        <f t="shared" si="99"/>
        <v>1.2752477269849725</v>
      </c>
      <c r="T240" s="19">
        <f>IF($H240&gt;0,'Calculation Constants'!$B$9*Hydraulics!$K240^2/2/9.81/MAX($F$4:$F$253)*$H240,"")</f>
        <v>7.8734226558858159E-2</v>
      </c>
      <c r="U240" s="19">
        <f t="shared" si="100"/>
        <v>1.3539819535438307</v>
      </c>
      <c r="V240" s="19">
        <f t="shared" si="86"/>
        <v>0</v>
      </c>
      <c r="W240" s="19">
        <f t="shared" si="87"/>
        <v>205.35906115888747</v>
      </c>
      <c r="X240" s="23">
        <f t="shared" si="88"/>
        <v>1100.6380611588875</v>
      </c>
      <c r="Y240" s="22">
        <f>(1/(2*LOG(3.7*$I240/'Calculation Constants'!$B$3*1000)))^2</f>
        <v>9.8211436332891755E-3</v>
      </c>
      <c r="Z240" s="19">
        <f t="shared" si="89"/>
        <v>1.431963236834217</v>
      </c>
      <c r="AA240" s="19">
        <f>IF($H240&gt;0,'Calculation Constants'!$B$9*Hydraulics!$K240^2/2/9.81/MAX($F$4:$F$253)*$H240,"")</f>
        <v>7.8734226558858159E-2</v>
      </c>
      <c r="AB240" s="19">
        <f t="shared" si="108"/>
        <v>1.5106974633930752</v>
      </c>
      <c r="AC240" s="19">
        <f t="shared" si="90"/>
        <v>0</v>
      </c>
      <c r="AD240" s="19">
        <f t="shared" si="101"/>
        <v>185.00934138188018</v>
      </c>
      <c r="AE240" s="23">
        <f t="shared" si="91"/>
        <v>1080.2883413818802</v>
      </c>
      <c r="AF240" s="27">
        <f>(1/(2*LOG(3.7*$I240/'Calculation Constants'!$B$4*1000)))^2</f>
        <v>1.1575055557914658E-2</v>
      </c>
      <c r="AG240" s="19">
        <f t="shared" si="92"/>
        <v>1.6876908272744866</v>
      </c>
      <c r="AH240" s="19">
        <f>IF($H240&gt;0,'Calculation Constants'!$B$9*Hydraulics!$K240^2/2/9.81/MAX($F$4:$F$253)*$H240,"")</f>
        <v>7.8734226558858159E-2</v>
      </c>
      <c r="AI240" s="19">
        <f t="shared" si="102"/>
        <v>1.7664250538333448</v>
      </c>
      <c r="AJ240" s="19">
        <f t="shared" si="93"/>
        <v>0</v>
      </c>
      <c r="AK240" s="19">
        <f t="shared" si="103"/>
        <v>151.85544827806916</v>
      </c>
      <c r="AL240" s="23">
        <f t="shared" si="94"/>
        <v>1047.1344482780692</v>
      </c>
      <c r="AM240" s="22">
        <f>(1/(2*LOG(3.7*($I240-0.008)/'Calculation Constants'!$B$5*1000)))^2</f>
        <v>1.4709705891825043E-2</v>
      </c>
      <c r="AN240" s="19">
        <f t="shared" si="104"/>
        <v>2.1543104841910781</v>
      </c>
      <c r="AO240" s="19">
        <f>IF($H240&gt;0,'Calculation Constants'!$B$9*Hydraulics!$K240^2/2/9.81/MAX($F$4:$F$253)*$H240,"")</f>
        <v>7.8734226558858159E-2</v>
      </c>
      <c r="AP240" s="19">
        <f t="shared" si="105"/>
        <v>2.2330447107499363</v>
      </c>
      <c r="AQ240" s="19">
        <f t="shared" si="95"/>
        <v>0</v>
      </c>
      <c r="AR240" s="19">
        <f t="shared" si="106"/>
        <v>91.622683804699591</v>
      </c>
      <c r="AS240" s="23">
        <f t="shared" si="96"/>
        <v>986.90168380469959</v>
      </c>
    </row>
    <row r="241" spans="5:45">
      <c r="E241" s="35" t="str">
        <f t="shared" si="82"/>
        <v/>
      </c>
      <c r="F241" s="19">
        <f>'Profile data'!A241</f>
        <v>476</v>
      </c>
      <c r="G241" s="19">
        <f>VLOOKUP(F241,'Profile data'!A241:C500,IF($B$22="Botswana 1",2,3))</f>
        <v>896.81799999999998</v>
      </c>
      <c r="H241" s="19">
        <f t="shared" si="107"/>
        <v>2</v>
      </c>
      <c r="I241" s="19">
        <v>1.8</v>
      </c>
      <c r="J241" s="36">
        <f>'Flow Rate Calculations'!$B$7</f>
        <v>4.0831050228310497</v>
      </c>
      <c r="K241" s="36">
        <f t="shared" si="97"/>
        <v>1.6045588828318709</v>
      </c>
      <c r="L241" s="37">
        <f>$I241*$K241/'Calculation Constants'!$B$7</f>
        <v>2555934.503625989</v>
      </c>
      <c r="M241" s="37" t="str">
        <f t="shared" si="83"/>
        <v>Greater Dynamic Pressures</v>
      </c>
      <c r="N241" s="23">
        <f t="shared" si="98"/>
        <v>202.4660792053437</v>
      </c>
      <c r="O241" s="56">
        <f t="shared" si="84"/>
        <v>181.95964391848702</v>
      </c>
      <c r="P241" s="65">
        <f>MAX(I241*1000/'Calculation Constants'!$B$14,O241*10*I241*1000/2/('Calculation Constants'!$B$12*1000*'Calculation Constants'!$B$13))</f>
        <v>11.25</v>
      </c>
      <c r="Q241" s="67">
        <f t="shared" si="85"/>
        <v>992548.40161508287</v>
      </c>
      <c r="R241" s="27">
        <f>(1/(2*LOG(3.7*$I241/'Calculation Constants'!$B$2*1000)))^2</f>
        <v>8.7463077071963571E-3</v>
      </c>
      <c r="S241" s="19">
        <f t="shared" si="99"/>
        <v>1.2752477269849725</v>
      </c>
      <c r="T241" s="19">
        <f>IF($H241&gt;0,'Calculation Constants'!$B$9*Hydraulics!$K241^2/2/9.81/MAX($F$4:$F$253)*$H241,"")</f>
        <v>7.8734226558858159E-2</v>
      </c>
      <c r="U241" s="19">
        <f t="shared" si="100"/>
        <v>1.3539819535438307</v>
      </c>
      <c r="V241" s="19">
        <f t="shared" si="86"/>
        <v>0</v>
      </c>
      <c r="W241" s="19">
        <f t="shared" si="87"/>
        <v>202.4660792053437</v>
      </c>
      <c r="X241" s="23">
        <f t="shared" si="88"/>
        <v>1099.2840792053437</v>
      </c>
      <c r="Y241" s="22">
        <f>(1/(2*LOG(3.7*$I241/'Calculation Constants'!$B$3*1000)))^2</f>
        <v>9.8211436332891755E-3</v>
      </c>
      <c r="Z241" s="19">
        <f t="shared" si="89"/>
        <v>1.431963236834217</v>
      </c>
      <c r="AA241" s="19">
        <f>IF($H241&gt;0,'Calculation Constants'!$B$9*Hydraulics!$K241^2/2/9.81/MAX($F$4:$F$253)*$H241,"")</f>
        <v>7.8734226558858159E-2</v>
      </c>
      <c r="AB241" s="19">
        <f t="shared" si="108"/>
        <v>1.5106974633930752</v>
      </c>
      <c r="AC241" s="19">
        <f t="shared" si="90"/>
        <v>0</v>
      </c>
      <c r="AD241" s="19">
        <f t="shared" si="101"/>
        <v>181.95964391848702</v>
      </c>
      <c r="AE241" s="23">
        <f t="shared" si="91"/>
        <v>1078.777643918487</v>
      </c>
      <c r="AF241" s="27">
        <f>(1/(2*LOG(3.7*$I241/'Calculation Constants'!$B$4*1000)))^2</f>
        <v>1.1575055557914658E-2</v>
      </c>
      <c r="AG241" s="19">
        <f t="shared" si="92"/>
        <v>1.6876908272744866</v>
      </c>
      <c r="AH241" s="19">
        <f>IF($H241&gt;0,'Calculation Constants'!$B$9*Hydraulics!$K241^2/2/9.81/MAX($F$4:$F$253)*$H241,"")</f>
        <v>7.8734226558858159E-2</v>
      </c>
      <c r="AI241" s="19">
        <f t="shared" si="102"/>
        <v>1.7664250538333448</v>
      </c>
      <c r="AJ241" s="19">
        <f t="shared" si="93"/>
        <v>0</v>
      </c>
      <c r="AK241" s="19">
        <f t="shared" si="103"/>
        <v>148.55002322423593</v>
      </c>
      <c r="AL241" s="23">
        <f t="shared" si="94"/>
        <v>1045.3680232242359</v>
      </c>
      <c r="AM241" s="22">
        <f>(1/(2*LOG(3.7*($I241-0.008)/'Calculation Constants'!$B$5*1000)))^2</f>
        <v>1.4709705891825043E-2</v>
      </c>
      <c r="AN241" s="19">
        <f t="shared" si="104"/>
        <v>2.1543104841910781</v>
      </c>
      <c r="AO241" s="19">
        <f>IF($H241&gt;0,'Calculation Constants'!$B$9*Hydraulics!$K241^2/2/9.81/MAX($F$4:$F$253)*$H241,"")</f>
        <v>7.8734226558858159E-2</v>
      </c>
      <c r="AP241" s="19">
        <f t="shared" si="105"/>
        <v>2.2330447107499363</v>
      </c>
      <c r="AQ241" s="19">
        <f t="shared" si="95"/>
        <v>0</v>
      </c>
      <c r="AR241" s="19">
        <f t="shared" si="106"/>
        <v>87.850639093949667</v>
      </c>
      <c r="AS241" s="23">
        <f t="shared" si="96"/>
        <v>984.66863909394965</v>
      </c>
    </row>
    <row r="242" spans="5:45">
      <c r="E242" s="35" t="str">
        <f t="shared" si="82"/>
        <v/>
      </c>
      <c r="F242" s="19">
        <f>'Profile data'!A242</f>
        <v>478</v>
      </c>
      <c r="G242" s="19">
        <f>VLOOKUP(F242,'Profile data'!A242:C501,IF($B$22="Botswana 1",2,3))</f>
        <v>909.92100000000005</v>
      </c>
      <c r="H242" s="19">
        <f t="shared" si="107"/>
        <v>2</v>
      </c>
      <c r="I242" s="19">
        <v>1.8</v>
      </c>
      <c r="J242" s="36">
        <f>'Flow Rate Calculations'!$B$7</f>
        <v>4.0831050228310497</v>
      </c>
      <c r="K242" s="36">
        <f t="shared" si="97"/>
        <v>1.6045588828318709</v>
      </c>
      <c r="L242" s="37">
        <f>$I242*$K242/'Calculation Constants'!$B$7</f>
        <v>2555934.503625989</v>
      </c>
      <c r="M242" s="37" t="str">
        <f t="shared" si="83"/>
        <v>Greater Dynamic Pressures</v>
      </c>
      <c r="N242" s="23">
        <f t="shared" si="98"/>
        <v>188.00909725179986</v>
      </c>
      <c r="O242" s="56">
        <f t="shared" si="84"/>
        <v>167.34594645509378</v>
      </c>
      <c r="P242" s="65">
        <f>MAX(I242*1000/'Calculation Constants'!$B$14,O242*10*I242*1000/2/('Calculation Constants'!$B$12*1000*'Calculation Constants'!$B$13))</f>
        <v>11.25</v>
      </c>
      <c r="Q242" s="67">
        <f t="shared" si="85"/>
        <v>992548.40161508287</v>
      </c>
      <c r="R242" s="27">
        <f>(1/(2*LOG(3.7*$I242/'Calculation Constants'!$B$2*1000)))^2</f>
        <v>8.7463077071963571E-3</v>
      </c>
      <c r="S242" s="19">
        <f t="shared" si="99"/>
        <v>1.2752477269849725</v>
      </c>
      <c r="T242" s="19">
        <f>IF($H242&gt;0,'Calculation Constants'!$B$9*Hydraulics!$K242^2/2/9.81/MAX($F$4:$F$253)*$H242,"")</f>
        <v>7.8734226558858159E-2</v>
      </c>
      <c r="U242" s="19">
        <f t="shared" si="100"/>
        <v>1.3539819535438307</v>
      </c>
      <c r="V242" s="19">
        <f t="shared" si="86"/>
        <v>0</v>
      </c>
      <c r="W242" s="19">
        <f t="shared" si="87"/>
        <v>188.00909725179986</v>
      </c>
      <c r="X242" s="23">
        <f t="shared" si="88"/>
        <v>1097.9300972517999</v>
      </c>
      <c r="Y242" s="22">
        <f>(1/(2*LOG(3.7*$I242/'Calculation Constants'!$B$3*1000)))^2</f>
        <v>9.8211436332891755E-3</v>
      </c>
      <c r="Z242" s="19">
        <f t="shared" si="89"/>
        <v>1.431963236834217</v>
      </c>
      <c r="AA242" s="19">
        <f>IF($H242&gt;0,'Calculation Constants'!$B$9*Hydraulics!$K242^2/2/9.81/MAX($F$4:$F$253)*$H242,"")</f>
        <v>7.8734226558858159E-2</v>
      </c>
      <c r="AB242" s="19">
        <f t="shared" si="108"/>
        <v>1.5106974633930752</v>
      </c>
      <c r="AC242" s="19">
        <f t="shared" si="90"/>
        <v>0</v>
      </c>
      <c r="AD242" s="19">
        <f t="shared" si="101"/>
        <v>167.34594645509378</v>
      </c>
      <c r="AE242" s="23">
        <f t="shared" si="91"/>
        <v>1077.2669464550938</v>
      </c>
      <c r="AF242" s="27">
        <f>(1/(2*LOG(3.7*$I242/'Calculation Constants'!$B$4*1000)))^2</f>
        <v>1.1575055557914658E-2</v>
      </c>
      <c r="AG242" s="19">
        <f t="shared" si="92"/>
        <v>1.6876908272744866</v>
      </c>
      <c r="AH242" s="19">
        <f>IF($H242&gt;0,'Calculation Constants'!$B$9*Hydraulics!$K242^2/2/9.81/MAX($F$4:$F$253)*$H242,"")</f>
        <v>7.8734226558858159E-2</v>
      </c>
      <c r="AI242" s="19">
        <f t="shared" si="102"/>
        <v>1.7664250538333448</v>
      </c>
      <c r="AJ242" s="19">
        <f t="shared" si="93"/>
        <v>0</v>
      </c>
      <c r="AK242" s="19">
        <f t="shared" si="103"/>
        <v>133.68059817040262</v>
      </c>
      <c r="AL242" s="23">
        <f t="shared" si="94"/>
        <v>1043.6015981704027</v>
      </c>
      <c r="AM242" s="22">
        <f>(1/(2*LOG(3.7*($I242-0.008)/'Calculation Constants'!$B$5*1000)))^2</f>
        <v>1.4709705891825043E-2</v>
      </c>
      <c r="AN242" s="19">
        <f t="shared" si="104"/>
        <v>2.1543104841910781</v>
      </c>
      <c r="AO242" s="19">
        <f>IF($H242&gt;0,'Calculation Constants'!$B$9*Hydraulics!$K242^2/2/9.81/MAX($F$4:$F$253)*$H242,"")</f>
        <v>7.8734226558858159E-2</v>
      </c>
      <c r="AP242" s="19">
        <f t="shared" si="105"/>
        <v>2.2330447107499363</v>
      </c>
      <c r="AQ242" s="19">
        <f t="shared" si="95"/>
        <v>0</v>
      </c>
      <c r="AR242" s="19">
        <f t="shared" si="106"/>
        <v>72.514594383199665</v>
      </c>
      <c r="AS242" s="23">
        <f t="shared" si="96"/>
        <v>982.43559438319971</v>
      </c>
    </row>
    <row r="243" spans="5:45">
      <c r="E243" s="35" t="str">
        <f t="shared" si="82"/>
        <v/>
      </c>
      <c r="F243" s="19">
        <f>'Profile data'!A243</f>
        <v>480</v>
      </c>
      <c r="G243" s="19">
        <f>VLOOKUP(F243,'Profile data'!A243:C502,IF($B$22="Botswana 1",2,3))</f>
        <v>926.29499999999996</v>
      </c>
      <c r="H243" s="19">
        <f t="shared" si="107"/>
        <v>2</v>
      </c>
      <c r="I243" s="19">
        <v>1.8</v>
      </c>
      <c r="J243" s="36">
        <f>'Flow Rate Calculations'!$B$7</f>
        <v>4.0831050228310497</v>
      </c>
      <c r="K243" s="36">
        <f t="shared" si="97"/>
        <v>1.6045588828318709</v>
      </c>
      <c r="L243" s="37">
        <f>$I243*$K243/'Calculation Constants'!$B$7</f>
        <v>2555934.503625989</v>
      </c>
      <c r="M243" s="37" t="str">
        <f t="shared" si="83"/>
        <v>Greater Dynamic Pressures</v>
      </c>
      <c r="N243" s="23">
        <f t="shared" si="98"/>
        <v>170.28111529825617</v>
      </c>
      <c r="O243" s="56">
        <f t="shared" si="84"/>
        <v>149.4612489917007</v>
      </c>
      <c r="P243" s="65">
        <f>MAX(I243*1000/'Calculation Constants'!$B$14,O243*10*I243*1000/2/('Calculation Constants'!$B$12*1000*'Calculation Constants'!$B$13))</f>
        <v>11.25</v>
      </c>
      <c r="Q243" s="67">
        <f t="shared" si="85"/>
        <v>992548.40161508287</v>
      </c>
      <c r="R243" s="27">
        <f>(1/(2*LOG(3.7*$I243/'Calculation Constants'!$B$2*1000)))^2</f>
        <v>8.7463077071963571E-3</v>
      </c>
      <c r="S243" s="19">
        <f t="shared" si="99"/>
        <v>1.2752477269849725</v>
      </c>
      <c r="T243" s="19">
        <f>IF($H243&gt;0,'Calculation Constants'!$B$9*Hydraulics!$K243^2/2/9.81/MAX($F$4:$F$253)*$H243,"")</f>
        <v>7.8734226558858159E-2</v>
      </c>
      <c r="U243" s="19">
        <f t="shared" si="100"/>
        <v>1.3539819535438307</v>
      </c>
      <c r="V243" s="19">
        <f t="shared" si="86"/>
        <v>0</v>
      </c>
      <c r="W243" s="19">
        <f t="shared" si="87"/>
        <v>170.28111529825617</v>
      </c>
      <c r="X243" s="23">
        <f t="shared" si="88"/>
        <v>1096.5761152982561</v>
      </c>
      <c r="Y243" s="22">
        <f>(1/(2*LOG(3.7*$I243/'Calculation Constants'!$B$3*1000)))^2</f>
        <v>9.8211436332891755E-3</v>
      </c>
      <c r="Z243" s="19">
        <f t="shared" si="89"/>
        <v>1.431963236834217</v>
      </c>
      <c r="AA243" s="19">
        <f>IF($H243&gt;0,'Calculation Constants'!$B$9*Hydraulics!$K243^2/2/9.81/MAX($F$4:$F$253)*$H243,"")</f>
        <v>7.8734226558858159E-2</v>
      </c>
      <c r="AB243" s="19">
        <f t="shared" si="108"/>
        <v>1.5106974633930752</v>
      </c>
      <c r="AC243" s="19">
        <f t="shared" si="90"/>
        <v>0</v>
      </c>
      <c r="AD243" s="19">
        <f t="shared" si="101"/>
        <v>149.4612489917007</v>
      </c>
      <c r="AE243" s="23">
        <f t="shared" si="91"/>
        <v>1075.7562489917007</v>
      </c>
      <c r="AF243" s="27">
        <f>(1/(2*LOG(3.7*$I243/'Calculation Constants'!$B$4*1000)))^2</f>
        <v>1.1575055557914658E-2</v>
      </c>
      <c r="AG243" s="19">
        <f t="shared" si="92"/>
        <v>1.6876908272744866</v>
      </c>
      <c r="AH243" s="19">
        <f>IF($H243&gt;0,'Calculation Constants'!$B$9*Hydraulics!$K243^2/2/9.81/MAX($F$4:$F$253)*$H243,"")</f>
        <v>7.8734226558858159E-2</v>
      </c>
      <c r="AI243" s="19">
        <f t="shared" si="102"/>
        <v>1.7664250538333448</v>
      </c>
      <c r="AJ243" s="19">
        <f t="shared" si="93"/>
        <v>0</v>
      </c>
      <c r="AK243" s="19">
        <f t="shared" si="103"/>
        <v>115.54017311656946</v>
      </c>
      <c r="AL243" s="23">
        <f t="shared" si="94"/>
        <v>1041.8351731165694</v>
      </c>
      <c r="AM243" s="22">
        <f>(1/(2*LOG(3.7*($I243-0.008)/'Calculation Constants'!$B$5*1000)))^2</f>
        <v>1.4709705891825043E-2</v>
      </c>
      <c r="AN243" s="19">
        <f t="shared" si="104"/>
        <v>2.1543104841910781</v>
      </c>
      <c r="AO243" s="19">
        <f>IF($H243&gt;0,'Calculation Constants'!$B$9*Hydraulics!$K243^2/2/9.81/MAX($F$4:$F$253)*$H243,"")</f>
        <v>7.8734226558858159E-2</v>
      </c>
      <c r="AP243" s="19">
        <f t="shared" si="105"/>
        <v>2.2330447107499363</v>
      </c>
      <c r="AQ243" s="19">
        <f t="shared" si="95"/>
        <v>0</v>
      </c>
      <c r="AR243" s="19">
        <f t="shared" si="106"/>
        <v>53.907549672449818</v>
      </c>
      <c r="AS243" s="23">
        <f t="shared" si="96"/>
        <v>980.20254967244978</v>
      </c>
    </row>
    <row r="244" spans="5:45">
      <c r="E244" s="35" t="str">
        <f t="shared" si="82"/>
        <v/>
      </c>
      <c r="F244" s="19">
        <f>'Profile data'!A244</f>
        <v>482</v>
      </c>
      <c r="G244" s="19">
        <f>VLOOKUP(F244,'Profile data'!A244:C503,IF($B$22="Botswana 1",2,3))</f>
        <v>924.88800000000003</v>
      </c>
      <c r="H244" s="19">
        <f t="shared" si="107"/>
        <v>2</v>
      </c>
      <c r="I244" s="19">
        <v>1.5</v>
      </c>
      <c r="J244" s="36">
        <f>'Flow Rate Calculations'!$B$7</f>
        <v>4.0831050228310497</v>
      </c>
      <c r="K244" s="36">
        <f t="shared" si="97"/>
        <v>2.3105647912778942</v>
      </c>
      <c r="L244" s="37">
        <f>$I244*$K244/'Calculation Constants'!$B$7</f>
        <v>3067121.4043511869</v>
      </c>
      <c r="M244" s="37" t="str">
        <f t="shared" si="83"/>
        <v>Greater Dynamic Pressures</v>
      </c>
      <c r="N244" s="23">
        <f t="shared" si="98"/>
        <v>168.25550447530475</v>
      </c>
      <c r="O244" s="56">
        <f t="shared" si="84"/>
        <v>147.02727278759755</v>
      </c>
      <c r="P244" s="65">
        <f>MAX(I244*1000/'Calculation Constants'!$B$14,O244*10*I244*1000/2/('Calculation Constants'!$B$12*1000*'Calculation Constants'!$B$13))</f>
        <v>9.375</v>
      </c>
      <c r="Q244" s="67">
        <f t="shared" si="85"/>
        <v>689269.72334380972</v>
      </c>
      <c r="R244" s="27">
        <f>(1/(2*LOG(3.7*$I244/'Calculation Constants'!$B$2*1000)))^2</f>
        <v>9.0112502883211744E-3</v>
      </c>
      <c r="S244" s="19">
        <f t="shared" si="99"/>
        <v>3.2693475307588078</v>
      </c>
      <c r="T244" s="19">
        <f>IF($H244&gt;0,'Calculation Constants'!$B$9*Hydraulics!$K244^2/2/9.81/MAX($F$4:$F$253)*$H244,"")</f>
        <v>0.16326329219244826</v>
      </c>
      <c r="U244" s="19">
        <f t="shared" si="100"/>
        <v>3.432610822951256</v>
      </c>
      <c r="V244" s="19">
        <f t="shared" si="86"/>
        <v>0</v>
      </c>
      <c r="W244" s="19">
        <f t="shared" si="87"/>
        <v>168.25550447530475</v>
      </c>
      <c r="X244" s="23">
        <f t="shared" si="88"/>
        <v>1093.1435044753048</v>
      </c>
      <c r="Y244" s="22">
        <f>(1/(2*LOG(3.7*$I244/'Calculation Constants'!$B$3*1000)))^2</f>
        <v>1.0136821254400123E-2</v>
      </c>
      <c r="Z244" s="19">
        <f t="shared" si="89"/>
        <v>3.6777129119105498</v>
      </c>
      <c r="AA244" s="19">
        <f>IF($H244&gt;0,'Calculation Constants'!$B$9*Hydraulics!$K244^2/2/9.81/MAX($F$4:$F$253)*$H244,"")</f>
        <v>0.16326329219244826</v>
      </c>
      <c r="AB244" s="19">
        <f t="shared" si="108"/>
        <v>3.840976204102998</v>
      </c>
      <c r="AC244" s="19">
        <f t="shared" si="90"/>
        <v>0</v>
      </c>
      <c r="AD244" s="19">
        <f t="shared" si="101"/>
        <v>147.02727278759755</v>
      </c>
      <c r="AE244" s="23">
        <f t="shared" si="91"/>
        <v>1071.9152727875976</v>
      </c>
      <c r="AF244" s="27">
        <f>(1/(2*LOG(3.7*$I244/'Calculation Constants'!$B$4*1000)))^2</f>
        <v>1.1979797083255311E-2</v>
      </c>
      <c r="AG244" s="19">
        <f t="shared" si="92"/>
        <v>4.3463580257994474</v>
      </c>
      <c r="AH244" s="19">
        <f>IF($H244&gt;0,'Calculation Constants'!$B$9*Hydraulics!$K244^2/2/9.81/MAX($F$4:$F$253)*$H244,"")</f>
        <v>0.16326329219244826</v>
      </c>
      <c r="AI244" s="19">
        <f t="shared" si="102"/>
        <v>4.509621317991896</v>
      </c>
      <c r="AJ244" s="19">
        <f t="shared" si="93"/>
        <v>0</v>
      </c>
      <c r="AK244" s="19">
        <f t="shared" si="103"/>
        <v>112.4375517985776</v>
      </c>
      <c r="AL244" s="23">
        <f t="shared" si="94"/>
        <v>1037.3255517985776</v>
      </c>
      <c r="AM244" s="22">
        <f>(1/(2*LOG(3.7*($I244-0.008)/'Calculation Constants'!$B$5*1000)))^2</f>
        <v>1.5294398771411635E-2</v>
      </c>
      <c r="AN244" s="19">
        <f t="shared" si="104"/>
        <v>5.5786726888400349</v>
      </c>
      <c r="AO244" s="19">
        <f>IF($H244&gt;0,'Calculation Constants'!$B$9*Hydraulics!$K244^2/2/9.81/MAX($F$4:$F$253)*$H244,"")</f>
        <v>0.16326329219244826</v>
      </c>
      <c r="AP244" s="19">
        <f t="shared" si="105"/>
        <v>5.7419359810324835</v>
      </c>
      <c r="AQ244" s="19">
        <f t="shared" si="95"/>
        <v>0</v>
      </c>
      <c r="AR244" s="19">
        <f t="shared" si="106"/>
        <v>49.572613691417246</v>
      </c>
      <c r="AS244" s="23">
        <f t="shared" si="96"/>
        <v>974.46061369141728</v>
      </c>
    </row>
    <row r="245" spans="5:45">
      <c r="E245" s="35" t="str">
        <f t="shared" si="82"/>
        <v/>
      </c>
      <c r="F245" s="19">
        <f>'Profile data'!A245</f>
        <v>484</v>
      </c>
      <c r="G245" s="19">
        <f>VLOOKUP(F245,'Profile data'!A245:C504,IF($B$22="Botswana 1",2,3))</f>
        <v>919.04399999999998</v>
      </c>
      <c r="H245" s="19">
        <f t="shared" si="107"/>
        <v>2</v>
      </c>
      <c r="I245" s="19">
        <v>1.5</v>
      </c>
      <c r="J245" s="36">
        <f>'Flow Rate Calculations'!$B$7</f>
        <v>4.0831050228310497</v>
      </c>
      <c r="K245" s="36">
        <f t="shared" si="97"/>
        <v>2.3105647912778942</v>
      </c>
      <c r="L245" s="37">
        <f>$I245*$K245/'Calculation Constants'!$B$7</f>
        <v>3067121.4043511869</v>
      </c>
      <c r="M245" s="37" t="str">
        <f t="shared" si="83"/>
        <v>Greater Dynamic Pressures</v>
      </c>
      <c r="N245" s="23">
        <f t="shared" si="98"/>
        <v>170.66689365235345</v>
      </c>
      <c r="O245" s="56">
        <f t="shared" si="84"/>
        <v>149.03029658349453</v>
      </c>
      <c r="P245" s="65">
        <f>MAX(I245*1000/'Calculation Constants'!$B$14,O245*10*I245*1000/2/('Calculation Constants'!$B$12*1000*'Calculation Constants'!$B$13))</f>
        <v>9.375</v>
      </c>
      <c r="Q245" s="67">
        <f t="shared" si="85"/>
        <v>689269.72334380972</v>
      </c>
      <c r="R245" s="27">
        <f>(1/(2*LOG(3.7*$I245/'Calculation Constants'!$B$2*1000)))^2</f>
        <v>9.0112502883211744E-3</v>
      </c>
      <c r="S245" s="19">
        <f t="shared" si="99"/>
        <v>3.2693475307588078</v>
      </c>
      <c r="T245" s="19">
        <f>IF($H245&gt;0,'Calculation Constants'!$B$9*Hydraulics!$K245^2/2/9.81/MAX($F$4:$F$253)*$H245,"")</f>
        <v>0.16326329219244826</v>
      </c>
      <c r="U245" s="19">
        <f t="shared" si="100"/>
        <v>3.432610822951256</v>
      </c>
      <c r="V245" s="19">
        <f t="shared" si="86"/>
        <v>0</v>
      </c>
      <c r="W245" s="19">
        <f t="shared" si="87"/>
        <v>170.66689365235345</v>
      </c>
      <c r="X245" s="23">
        <f t="shared" si="88"/>
        <v>1089.7108936523534</v>
      </c>
      <c r="Y245" s="22">
        <f>(1/(2*LOG(3.7*$I245/'Calculation Constants'!$B$3*1000)))^2</f>
        <v>1.0136821254400123E-2</v>
      </c>
      <c r="Z245" s="19">
        <f t="shared" si="89"/>
        <v>3.6777129119105498</v>
      </c>
      <c r="AA245" s="19">
        <f>IF($H245&gt;0,'Calculation Constants'!$B$9*Hydraulics!$K245^2/2/9.81/MAX($F$4:$F$253)*$H245,"")</f>
        <v>0.16326329219244826</v>
      </c>
      <c r="AB245" s="19">
        <f t="shared" si="108"/>
        <v>3.840976204102998</v>
      </c>
      <c r="AC245" s="19">
        <f t="shared" si="90"/>
        <v>0</v>
      </c>
      <c r="AD245" s="19">
        <f t="shared" si="101"/>
        <v>149.03029658349453</v>
      </c>
      <c r="AE245" s="23">
        <f t="shared" si="91"/>
        <v>1068.0742965834945</v>
      </c>
      <c r="AF245" s="27">
        <f>(1/(2*LOG(3.7*$I245/'Calculation Constants'!$B$4*1000)))^2</f>
        <v>1.1979797083255311E-2</v>
      </c>
      <c r="AG245" s="19">
        <f t="shared" si="92"/>
        <v>4.3463580257994474</v>
      </c>
      <c r="AH245" s="19">
        <f>IF($H245&gt;0,'Calculation Constants'!$B$9*Hydraulics!$K245^2/2/9.81/MAX($F$4:$F$253)*$H245,"")</f>
        <v>0.16326329219244826</v>
      </c>
      <c r="AI245" s="19">
        <f t="shared" si="102"/>
        <v>4.509621317991896</v>
      </c>
      <c r="AJ245" s="19">
        <f t="shared" si="93"/>
        <v>0</v>
      </c>
      <c r="AK245" s="19">
        <f t="shared" si="103"/>
        <v>113.77193048058587</v>
      </c>
      <c r="AL245" s="23">
        <f t="shared" si="94"/>
        <v>1032.8159304805858</v>
      </c>
      <c r="AM245" s="22">
        <f>(1/(2*LOG(3.7*($I245-0.008)/'Calculation Constants'!$B$5*1000)))^2</f>
        <v>1.5294398771411635E-2</v>
      </c>
      <c r="AN245" s="19">
        <f t="shared" si="104"/>
        <v>5.5786726888400349</v>
      </c>
      <c r="AO245" s="19">
        <f>IF($H245&gt;0,'Calculation Constants'!$B$9*Hydraulics!$K245^2/2/9.81/MAX($F$4:$F$253)*$H245,"")</f>
        <v>0.16326329219244826</v>
      </c>
      <c r="AP245" s="19">
        <f t="shared" si="105"/>
        <v>5.7419359810324835</v>
      </c>
      <c r="AQ245" s="19">
        <f t="shared" si="95"/>
        <v>0</v>
      </c>
      <c r="AR245" s="19">
        <f t="shared" si="106"/>
        <v>49.674677710384799</v>
      </c>
      <c r="AS245" s="23">
        <f t="shared" si="96"/>
        <v>968.71867771038478</v>
      </c>
    </row>
    <row r="246" spans="5:45">
      <c r="E246" s="35" t="str">
        <f t="shared" si="82"/>
        <v/>
      </c>
      <c r="F246" s="19">
        <f>'Profile data'!A246</f>
        <v>486</v>
      </c>
      <c r="G246" s="19">
        <f>VLOOKUP(F246,'Profile data'!A246:C505,IF($B$22="Botswana 1",2,3))</f>
        <v>911.16399999999999</v>
      </c>
      <c r="H246" s="19">
        <f t="shared" si="107"/>
        <v>2</v>
      </c>
      <c r="I246" s="19">
        <v>1.5</v>
      </c>
      <c r="J246" s="36">
        <f>'Flow Rate Calculations'!$B$7</f>
        <v>4.0831050228310497</v>
      </c>
      <c r="K246" s="36">
        <f t="shared" si="97"/>
        <v>2.3105647912778942</v>
      </c>
      <c r="L246" s="37">
        <f>$I246*$K246/'Calculation Constants'!$B$7</f>
        <v>3067121.4043511869</v>
      </c>
      <c r="M246" s="37" t="str">
        <f t="shared" si="83"/>
        <v>Greater Dynamic Pressures</v>
      </c>
      <c r="N246" s="23">
        <f t="shared" si="98"/>
        <v>175.1142828294021</v>
      </c>
      <c r="O246" s="56">
        <f t="shared" si="84"/>
        <v>153.06932037939146</v>
      </c>
      <c r="P246" s="65">
        <f>MAX(I246*1000/'Calculation Constants'!$B$14,O246*10*I246*1000/2/('Calculation Constants'!$B$12*1000*'Calculation Constants'!$B$13))</f>
        <v>9.375</v>
      </c>
      <c r="Q246" s="67">
        <f t="shared" si="85"/>
        <v>689269.72334380972</v>
      </c>
      <c r="R246" s="27">
        <f>(1/(2*LOG(3.7*$I246/'Calculation Constants'!$B$2*1000)))^2</f>
        <v>9.0112502883211744E-3</v>
      </c>
      <c r="S246" s="19">
        <f t="shared" si="99"/>
        <v>3.2693475307588078</v>
      </c>
      <c r="T246" s="19">
        <f>IF($H246&gt;0,'Calculation Constants'!$B$9*Hydraulics!$K246^2/2/9.81/MAX($F$4:$F$253)*$H246,"")</f>
        <v>0.16326329219244826</v>
      </c>
      <c r="U246" s="19">
        <f t="shared" si="100"/>
        <v>3.432610822951256</v>
      </c>
      <c r="V246" s="19">
        <f t="shared" si="86"/>
        <v>0</v>
      </c>
      <c r="W246" s="19">
        <f t="shared" si="87"/>
        <v>175.1142828294021</v>
      </c>
      <c r="X246" s="23">
        <f t="shared" si="88"/>
        <v>1086.2782828294021</v>
      </c>
      <c r="Y246" s="22">
        <f>(1/(2*LOG(3.7*$I246/'Calculation Constants'!$B$3*1000)))^2</f>
        <v>1.0136821254400123E-2</v>
      </c>
      <c r="Z246" s="19">
        <f t="shared" si="89"/>
        <v>3.6777129119105498</v>
      </c>
      <c r="AA246" s="19">
        <f>IF($H246&gt;0,'Calculation Constants'!$B$9*Hydraulics!$K246^2/2/9.81/MAX($F$4:$F$253)*$H246,"")</f>
        <v>0.16326329219244826</v>
      </c>
      <c r="AB246" s="19">
        <f t="shared" si="108"/>
        <v>3.840976204102998</v>
      </c>
      <c r="AC246" s="19">
        <f t="shared" si="90"/>
        <v>0</v>
      </c>
      <c r="AD246" s="19">
        <f t="shared" si="101"/>
        <v>153.06932037939146</v>
      </c>
      <c r="AE246" s="23">
        <f t="shared" si="91"/>
        <v>1064.2333203793914</v>
      </c>
      <c r="AF246" s="27">
        <f>(1/(2*LOG(3.7*$I246/'Calculation Constants'!$B$4*1000)))^2</f>
        <v>1.1979797083255311E-2</v>
      </c>
      <c r="AG246" s="19">
        <f t="shared" si="92"/>
        <v>4.3463580257994474</v>
      </c>
      <c r="AH246" s="19">
        <f>IF($H246&gt;0,'Calculation Constants'!$B$9*Hydraulics!$K246^2/2/9.81/MAX($F$4:$F$253)*$H246,"")</f>
        <v>0.16326329219244826</v>
      </c>
      <c r="AI246" s="19">
        <f t="shared" si="102"/>
        <v>4.509621317991896</v>
      </c>
      <c r="AJ246" s="19">
        <f t="shared" si="93"/>
        <v>0</v>
      </c>
      <c r="AK246" s="19">
        <f t="shared" si="103"/>
        <v>117.14230916259407</v>
      </c>
      <c r="AL246" s="23">
        <f t="shared" si="94"/>
        <v>1028.3063091625941</v>
      </c>
      <c r="AM246" s="22">
        <f>(1/(2*LOG(3.7*($I246-0.008)/'Calculation Constants'!$B$5*1000)))^2</f>
        <v>1.5294398771411635E-2</v>
      </c>
      <c r="AN246" s="19">
        <f t="shared" si="104"/>
        <v>5.5786726888400349</v>
      </c>
      <c r="AO246" s="19">
        <f>IF($H246&gt;0,'Calculation Constants'!$B$9*Hydraulics!$K246^2/2/9.81/MAX($F$4:$F$253)*$H246,"")</f>
        <v>0.16326329219244826</v>
      </c>
      <c r="AP246" s="19">
        <f t="shared" si="105"/>
        <v>5.7419359810324835</v>
      </c>
      <c r="AQ246" s="19">
        <f t="shared" si="95"/>
        <v>0</v>
      </c>
      <c r="AR246" s="19">
        <f t="shared" si="106"/>
        <v>51.812741729352297</v>
      </c>
      <c r="AS246" s="23">
        <f t="shared" si="96"/>
        <v>962.97674172935228</v>
      </c>
    </row>
    <row r="247" spans="5:45">
      <c r="E247" s="35" t="str">
        <f t="shared" si="82"/>
        <v/>
      </c>
      <c r="F247" s="19">
        <f>'Profile data'!A247</f>
        <v>488</v>
      </c>
      <c r="G247" s="19">
        <f>VLOOKUP(F247,'Profile data'!A247:C506,IF($B$22="Botswana 1",2,3))</f>
        <v>903.89300000000003</v>
      </c>
      <c r="H247" s="19">
        <f t="shared" si="107"/>
        <v>2</v>
      </c>
      <c r="I247" s="19">
        <v>1.5</v>
      </c>
      <c r="J247" s="36">
        <f>'Flow Rate Calculations'!$B$7</f>
        <v>4.0831050228310497</v>
      </c>
      <c r="K247" s="36">
        <f t="shared" si="97"/>
        <v>2.3105647912778942</v>
      </c>
      <c r="L247" s="37">
        <f>$I247*$K247/'Calculation Constants'!$B$7</f>
        <v>3067121.4043511869</v>
      </c>
      <c r="M247" s="37" t="str">
        <f t="shared" si="83"/>
        <v>Greater Dynamic Pressures</v>
      </c>
      <c r="N247" s="23">
        <f t="shared" si="98"/>
        <v>178.95267200645071</v>
      </c>
      <c r="O247" s="56">
        <f t="shared" si="84"/>
        <v>156.49934417528834</v>
      </c>
      <c r="P247" s="65">
        <f>MAX(I247*1000/'Calculation Constants'!$B$14,O247*10*I247*1000/2/('Calculation Constants'!$B$12*1000*'Calculation Constants'!$B$13))</f>
        <v>9.375</v>
      </c>
      <c r="Q247" s="67">
        <f t="shared" si="85"/>
        <v>689269.72334380972</v>
      </c>
      <c r="R247" s="27">
        <f>(1/(2*LOG(3.7*$I247/'Calculation Constants'!$B$2*1000)))^2</f>
        <v>9.0112502883211744E-3</v>
      </c>
      <c r="S247" s="19">
        <f t="shared" si="99"/>
        <v>3.2693475307588078</v>
      </c>
      <c r="T247" s="19">
        <f>IF($H247&gt;0,'Calculation Constants'!$B$9*Hydraulics!$K247^2/2/9.81/MAX($F$4:$F$253)*$H247,"")</f>
        <v>0.16326329219244826</v>
      </c>
      <c r="U247" s="19">
        <f t="shared" si="100"/>
        <v>3.432610822951256</v>
      </c>
      <c r="V247" s="19">
        <f t="shared" si="86"/>
        <v>0</v>
      </c>
      <c r="W247" s="19">
        <f t="shared" si="87"/>
        <v>178.95267200645071</v>
      </c>
      <c r="X247" s="23">
        <f t="shared" si="88"/>
        <v>1082.8456720064507</v>
      </c>
      <c r="Y247" s="22">
        <f>(1/(2*LOG(3.7*$I247/'Calculation Constants'!$B$3*1000)))^2</f>
        <v>1.0136821254400123E-2</v>
      </c>
      <c r="Z247" s="19">
        <f t="shared" si="89"/>
        <v>3.6777129119105498</v>
      </c>
      <c r="AA247" s="19">
        <f>IF($H247&gt;0,'Calculation Constants'!$B$9*Hydraulics!$K247^2/2/9.81/MAX($F$4:$F$253)*$H247,"")</f>
        <v>0.16326329219244826</v>
      </c>
      <c r="AB247" s="19">
        <f t="shared" si="108"/>
        <v>3.840976204102998</v>
      </c>
      <c r="AC247" s="19">
        <f t="shared" si="90"/>
        <v>0</v>
      </c>
      <c r="AD247" s="19">
        <f t="shared" si="101"/>
        <v>156.49934417528834</v>
      </c>
      <c r="AE247" s="23">
        <f t="shared" si="91"/>
        <v>1060.3923441752884</v>
      </c>
      <c r="AF247" s="27">
        <f>(1/(2*LOG(3.7*$I247/'Calculation Constants'!$B$4*1000)))^2</f>
        <v>1.1979797083255311E-2</v>
      </c>
      <c r="AG247" s="19">
        <f t="shared" si="92"/>
        <v>4.3463580257994474</v>
      </c>
      <c r="AH247" s="19">
        <f>IF($H247&gt;0,'Calculation Constants'!$B$9*Hydraulics!$K247^2/2/9.81/MAX($F$4:$F$253)*$H247,"")</f>
        <v>0.16326329219244826</v>
      </c>
      <c r="AI247" s="19">
        <f t="shared" si="102"/>
        <v>4.509621317991896</v>
      </c>
      <c r="AJ247" s="19">
        <f t="shared" si="93"/>
        <v>0</v>
      </c>
      <c r="AK247" s="19">
        <f t="shared" si="103"/>
        <v>119.90368784460213</v>
      </c>
      <c r="AL247" s="23">
        <f t="shared" si="94"/>
        <v>1023.7966878446022</v>
      </c>
      <c r="AM247" s="22">
        <f>(1/(2*LOG(3.7*($I247-0.008)/'Calculation Constants'!$B$5*1000)))^2</f>
        <v>1.5294398771411635E-2</v>
      </c>
      <c r="AN247" s="19">
        <f t="shared" si="104"/>
        <v>5.5786726888400349</v>
      </c>
      <c r="AO247" s="19">
        <f>IF($H247&gt;0,'Calculation Constants'!$B$9*Hydraulics!$K247^2/2/9.81/MAX($F$4:$F$253)*$H247,"")</f>
        <v>0.16326329219244826</v>
      </c>
      <c r="AP247" s="19">
        <f t="shared" si="105"/>
        <v>5.7419359810324835</v>
      </c>
      <c r="AQ247" s="19">
        <f t="shared" si="95"/>
        <v>0</v>
      </c>
      <c r="AR247" s="19">
        <f t="shared" si="106"/>
        <v>53.341805748319757</v>
      </c>
      <c r="AS247" s="23">
        <f t="shared" si="96"/>
        <v>957.23480574831979</v>
      </c>
    </row>
    <row r="248" spans="5:45">
      <c r="E248" s="35" t="str">
        <f t="shared" si="82"/>
        <v/>
      </c>
      <c r="F248" s="19">
        <f>'Profile data'!A248</f>
        <v>490</v>
      </c>
      <c r="G248" s="19">
        <f>VLOOKUP(F248,'Profile data'!A248:C507,IF($B$22="Botswana 1",2,3))</f>
        <v>901.95299999999997</v>
      </c>
      <c r="H248" s="19">
        <f t="shared" si="107"/>
        <v>2</v>
      </c>
      <c r="I248" s="19">
        <v>1.5</v>
      </c>
      <c r="J248" s="36">
        <f>'Flow Rate Calculations'!$B$7</f>
        <v>4.0831050228310497</v>
      </c>
      <c r="K248" s="36">
        <f t="shared" si="97"/>
        <v>2.3105647912778942</v>
      </c>
      <c r="L248" s="37">
        <f>$I248*$K248/'Calculation Constants'!$B$7</f>
        <v>3067121.4043511869</v>
      </c>
      <c r="M248" s="37" t="str">
        <f t="shared" si="83"/>
        <v>Greater Dynamic Pressures</v>
      </c>
      <c r="N248" s="23">
        <f t="shared" si="98"/>
        <v>177.46006118349942</v>
      </c>
      <c r="O248" s="56">
        <f t="shared" si="84"/>
        <v>154.59836797118533</v>
      </c>
      <c r="P248" s="65">
        <f>MAX(I248*1000/'Calculation Constants'!$B$14,O248*10*I248*1000/2/('Calculation Constants'!$B$12*1000*'Calculation Constants'!$B$13))</f>
        <v>9.375</v>
      </c>
      <c r="Q248" s="67">
        <f t="shared" si="85"/>
        <v>689269.72334380972</v>
      </c>
      <c r="R248" s="27">
        <f>(1/(2*LOG(3.7*$I248/'Calculation Constants'!$B$2*1000)))^2</f>
        <v>9.0112502883211744E-3</v>
      </c>
      <c r="S248" s="19">
        <f t="shared" si="99"/>
        <v>3.2693475307588078</v>
      </c>
      <c r="T248" s="19">
        <f>IF($H248&gt;0,'Calculation Constants'!$B$9*Hydraulics!$K248^2/2/9.81/MAX($F$4:$F$253)*$H248,"")</f>
        <v>0.16326329219244826</v>
      </c>
      <c r="U248" s="19">
        <f t="shared" si="100"/>
        <v>3.432610822951256</v>
      </c>
      <c r="V248" s="19">
        <f t="shared" si="86"/>
        <v>0</v>
      </c>
      <c r="W248" s="19">
        <f t="shared" si="87"/>
        <v>177.46006118349942</v>
      </c>
      <c r="X248" s="23">
        <f t="shared" si="88"/>
        <v>1079.4130611834994</v>
      </c>
      <c r="Y248" s="22">
        <f>(1/(2*LOG(3.7*$I248/'Calculation Constants'!$B$3*1000)))^2</f>
        <v>1.0136821254400123E-2</v>
      </c>
      <c r="Z248" s="19">
        <f t="shared" si="89"/>
        <v>3.6777129119105498</v>
      </c>
      <c r="AA248" s="19">
        <f>IF($H248&gt;0,'Calculation Constants'!$B$9*Hydraulics!$K248^2/2/9.81/MAX($F$4:$F$253)*$H248,"")</f>
        <v>0.16326329219244826</v>
      </c>
      <c r="AB248" s="19">
        <f t="shared" si="108"/>
        <v>3.840976204102998</v>
      </c>
      <c r="AC248" s="19">
        <f t="shared" si="90"/>
        <v>0</v>
      </c>
      <c r="AD248" s="19">
        <f t="shared" si="101"/>
        <v>154.59836797118533</v>
      </c>
      <c r="AE248" s="23">
        <f t="shared" si="91"/>
        <v>1056.5513679711853</v>
      </c>
      <c r="AF248" s="27">
        <f>(1/(2*LOG(3.7*$I248/'Calculation Constants'!$B$4*1000)))^2</f>
        <v>1.1979797083255311E-2</v>
      </c>
      <c r="AG248" s="19">
        <f t="shared" si="92"/>
        <v>4.3463580257994474</v>
      </c>
      <c r="AH248" s="19">
        <f>IF($H248&gt;0,'Calculation Constants'!$B$9*Hydraulics!$K248^2/2/9.81/MAX($F$4:$F$253)*$H248,"")</f>
        <v>0.16326329219244826</v>
      </c>
      <c r="AI248" s="19">
        <f t="shared" si="102"/>
        <v>4.509621317991896</v>
      </c>
      <c r="AJ248" s="19">
        <f t="shared" si="93"/>
        <v>0</v>
      </c>
      <c r="AK248" s="19">
        <f t="shared" si="103"/>
        <v>117.33406652661029</v>
      </c>
      <c r="AL248" s="23">
        <f t="shared" si="94"/>
        <v>1019.2870665266103</v>
      </c>
      <c r="AM248" s="22">
        <f>(1/(2*LOG(3.7*($I248-0.008)/'Calculation Constants'!$B$5*1000)))^2</f>
        <v>1.5294398771411635E-2</v>
      </c>
      <c r="AN248" s="19">
        <f t="shared" si="104"/>
        <v>5.5786726888400349</v>
      </c>
      <c r="AO248" s="19">
        <f>IF($H248&gt;0,'Calculation Constants'!$B$9*Hydraulics!$K248^2/2/9.81/MAX($F$4:$F$253)*$H248,"")</f>
        <v>0.16326329219244826</v>
      </c>
      <c r="AP248" s="19">
        <f t="shared" si="105"/>
        <v>5.7419359810324835</v>
      </c>
      <c r="AQ248" s="19">
        <f t="shared" si="95"/>
        <v>0</v>
      </c>
      <c r="AR248" s="19">
        <f t="shared" si="106"/>
        <v>49.539869767287314</v>
      </c>
      <c r="AS248" s="23">
        <f t="shared" si="96"/>
        <v>951.49286976728729</v>
      </c>
    </row>
    <row r="249" spans="5:45">
      <c r="E249" s="35" t="str">
        <f t="shared" si="82"/>
        <v/>
      </c>
      <c r="F249" s="19">
        <f>'Profile data'!A249</f>
        <v>492</v>
      </c>
      <c r="G249" s="19">
        <f>VLOOKUP(F249,'Profile data'!A249:C508,IF($B$22="Botswana 1",2,3))</f>
        <v>900.19799999999998</v>
      </c>
      <c r="H249" s="19">
        <f t="shared" si="107"/>
        <v>2</v>
      </c>
      <c r="I249" s="19">
        <v>1.5</v>
      </c>
      <c r="J249" s="36">
        <f>'Flow Rate Calculations'!$B$7</f>
        <v>4.0831050228310497</v>
      </c>
      <c r="K249" s="36">
        <f t="shared" si="97"/>
        <v>2.3105647912778942</v>
      </c>
      <c r="L249" s="37">
        <f>$I249*$K249/'Calculation Constants'!$B$7</f>
        <v>3067121.4043511869</v>
      </c>
      <c r="M249" s="37">
        <f t="shared" si="83"/>
        <v>178.82000000000005</v>
      </c>
      <c r="N249" s="23">
        <f t="shared" si="98"/>
        <v>175.78245036054807</v>
      </c>
      <c r="O249" s="56">
        <f t="shared" si="84"/>
        <v>178.82000000000005</v>
      </c>
      <c r="P249" s="65">
        <f>MAX(I249*1000/'Calculation Constants'!$B$14,O249*10*I249*1000/2/('Calculation Constants'!$B$12*1000*'Calculation Constants'!$B$13))</f>
        <v>9.375</v>
      </c>
      <c r="Q249" s="67">
        <f t="shared" si="85"/>
        <v>689269.72334380972</v>
      </c>
      <c r="R249" s="27">
        <f>(1/(2*LOG(3.7*$I249/'Calculation Constants'!$B$2*1000)))^2</f>
        <v>9.0112502883211744E-3</v>
      </c>
      <c r="S249" s="19">
        <f t="shared" si="99"/>
        <v>3.2693475307588078</v>
      </c>
      <c r="T249" s="19">
        <f>IF($H249&gt;0,'Calculation Constants'!$B$9*Hydraulics!$K249^2/2/9.81/MAX($F$4:$F$253)*$H249,"")</f>
        <v>0.16326329219244826</v>
      </c>
      <c r="U249" s="19">
        <f t="shared" si="100"/>
        <v>3.432610822951256</v>
      </c>
      <c r="V249" s="19">
        <f t="shared" si="86"/>
        <v>0</v>
      </c>
      <c r="W249" s="19">
        <f t="shared" si="87"/>
        <v>175.78245036054807</v>
      </c>
      <c r="X249" s="23">
        <f t="shared" si="88"/>
        <v>1075.980450360548</v>
      </c>
      <c r="Y249" s="22">
        <f>(1/(2*LOG(3.7*$I249/'Calculation Constants'!$B$3*1000)))^2</f>
        <v>1.0136821254400123E-2</v>
      </c>
      <c r="Z249" s="19">
        <f t="shared" si="89"/>
        <v>3.6777129119105498</v>
      </c>
      <c r="AA249" s="19">
        <f>IF($H249&gt;0,'Calculation Constants'!$B$9*Hydraulics!$K249^2/2/9.81/MAX($F$4:$F$253)*$H249,"")</f>
        <v>0.16326329219244826</v>
      </c>
      <c r="AB249" s="19">
        <f t="shared" si="108"/>
        <v>3.840976204102998</v>
      </c>
      <c r="AC249" s="19">
        <f t="shared" si="90"/>
        <v>0</v>
      </c>
      <c r="AD249" s="19">
        <f t="shared" si="101"/>
        <v>152.51239176708225</v>
      </c>
      <c r="AE249" s="23">
        <f t="shared" si="91"/>
        <v>1052.7103917670822</v>
      </c>
      <c r="AF249" s="27">
        <f>(1/(2*LOG(3.7*$I249/'Calculation Constants'!$B$4*1000)))^2</f>
        <v>1.1979797083255311E-2</v>
      </c>
      <c r="AG249" s="19">
        <f t="shared" si="92"/>
        <v>4.3463580257994474</v>
      </c>
      <c r="AH249" s="19">
        <f>IF($H249&gt;0,'Calculation Constants'!$B$9*Hydraulics!$K249^2/2/9.81/MAX($F$4:$F$253)*$H249,"")</f>
        <v>0.16326329219244826</v>
      </c>
      <c r="AI249" s="19">
        <f t="shared" si="102"/>
        <v>4.509621317991896</v>
      </c>
      <c r="AJ249" s="19">
        <f t="shared" si="93"/>
        <v>0</v>
      </c>
      <c r="AK249" s="19">
        <f t="shared" si="103"/>
        <v>114.57944520861838</v>
      </c>
      <c r="AL249" s="23">
        <f t="shared" si="94"/>
        <v>1014.7774452086184</v>
      </c>
      <c r="AM249" s="22">
        <f>(1/(2*LOG(3.7*($I249-0.008)/'Calculation Constants'!$B$5*1000)))^2</f>
        <v>1.5294398771411635E-2</v>
      </c>
      <c r="AN249" s="19">
        <f t="shared" si="104"/>
        <v>5.5786726888400349</v>
      </c>
      <c r="AO249" s="19">
        <f>IF($H249&gt;0,'Calculation Constants'!$B$9*Hydraulics!$K249^2/2/9.81/MAX($F$4:$F$253)*$H249,"")</f>
        <v>0.16326329219244826</v>
      </c>
      <c r="AP249" s="19">
        <f t="shared" si="105"/>
        <v>5.7419359810324835</v>
      </c>
      <c r="AQ249" s="19">
        <f t="shared" si="95"/>
        <v>0</v>
      </c>
      <c r="AR249" s="19">
        <f t="shared" si="106"/>
        <v>45.552933786254812</v>
      </c>
      <c r="AS249" s="23">
        <f t="shared" si="96"/>
        <v>945.75093378625479</v>
      </c>
    </row>
    <row r="250" spans="5:45">
      <c r="E250" s="35" t="str">
        <f t="shared" si="82"/>
        <v/>
      </c>
      <c r="F250" s="19">
        <f>'Profile data'!A250</f>
        <v>494</v>
      </c>
      <c r="G250" s="19">
        <f>VLOOKUP(F250,'Profile data'!A250:C509,IF($B$22="Botswana 1",2,3))</f>
        <v>904.17700000000002</v>
      </c>
      <c r="H250" s="19">
        <f t="shared" si="107"/>
        <v>2</v>
      </c>
      <c r="I250" s="19">
        <v>1.5</v>
      </c>
      <c r="J250" s="36">
        <f>'Flow Rate Calculations'!$B$7</f>
        <v>4.0831050228310497</v>
      </c>
      <c r="K250" s="36">
        <f t="shared" si="97"/>
        <v>2.3105647912778942</v>
      </c>
      <c r="L250" s="37">
        <f>$I250*$K250/'Calculation Constants'!$B$7</f>
        <v>3067121.4043511869</v>
      </c>
      <c r="M250" s="37">
        <f t="shared" si="83"/>
        <v>174.84100000000001</v>
      </c>
      <c r="N250" s="23">
        <f t="shared" si="98"/>
        <v>168.37083953759668</v>
      </c>
      <c r="O250" s="56">
        <f t="shared" si="84"/>
        <v>174.84100000000001</v>
      </c>
      <c r="P250" s="65">
        <f>MAX(I250*1000/'Calculation Constants'!$B$14,O250*10*I250*1000/2/('Calculation Constants'!$B$12*1000*'Calculation Constants'!$B$13))</f>
        <v>9.375</v>
      </c>
      <c r="Q250" s="67">
        <f t="shared" si="85"/>
        <v>689269.72334380972</v>
      </c>
      <c r="R250" s="27">
        <f>(1/(2*LOG(3.7*$I250/'Calculation Constants'!$B$2*1000)))^2</f>
        <v>9.0112502883211744E-3</v>
      </c>
      <c r="S250" s="19">
        <f t="shared" si="99"/>
        <v>3.2693475307588078</v>
      </c>
      <c r="T250" s="19">
        <f>IF($H250&gt;0,'Calculation Constants'!$B$9*Hydraulics!$K250^2/2/9.81/MAX($F$4:$F$253)*$H250,"")</f>
        <v>0.16326329219244826</v>
      </c>
      <c r="U250" s="19">
        <f t="shared" si="100"/>
        <v>3.432610822951256</v>
      </c>
      <c r="V250" s="19">
        <f t="shared" si="86"/>
        <v>0</v>
      </c>
      <c r="W250" s="19">
        <f t="shared" si="87"/>
        <v>168.37083953759668</v>
      </c>
      <c r="X250" s="23">
        <f t="shared" si="88"/>
        <v>1072.5478395375967</v>
      </c>
      <c r="Y250" s="22">
        <f>(1/(2*LOG(3.7*$I250/'Calculation Constants'!$B$3*1000)))^2</f>
        <v>1.0136821254400123E-2</v>
      </c>
      <c r="Z250" s="19">
        <f t="shared" si="89"/>
        <v>3.6777129119105498</v>
      </c>
      <c r="AA250" s="19">
        <f>IF($H250&gt;0,'Calculation Constants'!$B$9*Hydraulics!$K250^2/2/9.81/MAX($F$4:$F$253)*$H250,"")</f>
        <v>0.16326329219244826</v>
      </c>
      <c r="AB250" s="19">
        <f t="shared" si="108"/>
        <v>3.840976204102998</v>
      </c>
      <c r="AC250" s="19">
        <f t="shared" si="90"/>
        <v>0</v>
      </c>
      <c r="AD250" s="19">
        <f t="shared" si="101"/>
        <v>144.69241556297914</v>
      </c>
      <c r="AE250" s="23">
        <f t="shared" si="91"/>
        <v>1048.8694155629792</v>
      </c>
      <c r="AF250" s="27">
        <f>(1/(2*LOG(3.7*$I250/'Calculation Constants'!$B$4*1000)))^2</f>
        <v>1.1979797083255311E-2</v>
      </c>
      <c r="AG250" s="19">
        <f t="shared" si="92"/>
        <v>4.3463580257994474</v>
      </c>
      <c r="AH250" s="19">
        <f>IF($H250&gt;0,'Calculation Constants'!$B$9*Hydraulics!$K250^2/2/9.81/MAX($F$4:$F$253)*$H250,"")</f>
        <v>0.16326329219244826</v>
      </c>
      <c r="AI250" s="19">
        <f t="shared" si="102"/>
        <v>4.509621317991896</v>
      </c>
      <c r="AJ250" s="19">
        <f t="shared" si="93"/>
        <v>0</v>
      </c>
      <c r="AK250" s="19">
        <f t="shared" si="103"/>
        <v>106.09082389062644</v>
      </c>
      <c r="AL250" s="23">
        <f t="shared" si="94"/>
        <v>1010.2678238906265</v>
      </c>
      <c r="AM250" s="22">
        <f>(1/(2*LOG(3.7*($I250-0.008)/'Calculation Constants'!$B$5*1000)))^2</f>
        <v>1.5294398771411635E-2</v>
      </c>
      <c r="AN250" s="19">
        <f t="shared" si="104"/>
        <v>5.5786726888400349</v>
      </c>
      <c r="AO250" s="19">
        <f>IF($H250&gt;0,'Calculation Constants'!$B$9*Hydraulics!$K250^2/2/9.81/MAX($F$4:$F$253)*$H250,"")</f>
        <v>0.16326329219244826</v>
      </c>
      <c r="AP250" s="19">
        <f t="shared" si="105"/>
        <v>5.7419359810324835</v>
      </c>
      <c r="AQ250" s="19">
        <f t="shared" si="95"/>
        <v>0</v>
      </c>
      <c r="AR250" s="19">
        <f t="shared" si="106"/>
        <v>35.831997805222272</v>
      </c>
      <c r="AS250" s="23">
        <f t="shared" si="96"/>
        <v>940.00899780522229</v>
      </c>
    </row>
    <row r="251" spans="5:45">
      <c r="E251" s="35" t="str">
        <f t="shared" si="82"/>
        <v/>
      </c>
      <c r="F251" s="19">
        <f>'Profile data'!A251</f>
        <v>496</v>
      </c>
      <c r="G251" s="19">
        <f>VLOOKUP(F251,'Profile data'!A251:C510,IF($B$22="Botswana 1",2,3))</f>
        <v>912.25300000000004</v>
      </c>
      <c r="H251" s="19">
        <f t="shared" si="107"/>
        <v>2</v>
      </c>
      <c r="I251" s="19">
        <v>1.5</v>
      </c>
      <c r="J251" s="36">
        <f>'Flow Rate Calculations'!$B$7</f>
        <v>4.0831050228310497</v>
      </c>
      <c r="K251" s="36">
        <f t="shared" si="97"/>
        <v>2.3105647912778942</v>
      </c>
      <c r="L251" s="37">
        <f>$I251*$K251/'Calculation Constants'!$B$7</f>
        <v>3067121.4043511869</v>
      </c>
      <c r="M251" s="37">
        <f t="shared" si="83"/>
        <v>166.76499999999999</v>
      </c>
      <c r="N251" s="23">
        <f t="shared" si="98"/>
        <v>156.86222871464531</v>
      </c>
      <c r="O251" s="56">
        <f t="shared" si="84"/>
        <v>166.76499999999999</v>
      </c>
      <c r="P251" s="65">
        <f>MAX(I251*1000/'Calculation Constants'!$B$14,O251*10*I251*1000/2/('Calculation Constants'!$B$12*1000*'Calculation Constants'!$B$13))</f>
        <v>9.375</v>
      </c>
      <c r="Q251" s="67">
        <f t="shared" si="85"/>
        <v>689269.72334380972</v>
      </c>
      <c r="R251" s="27">
        <f>(1/(2*LOG(3.7*$I251/'Calculation Constants'!$B$2*1000)))^2</f>
        <v>9.0112502883211744E-3</v>
      </c>
      <c r="S251" s="19">
        <f t="shared" si="99"/>
        <v>3.2693475307588078</v>
      </c>
      <c r="T251" s="19">
        <f>IF($H251&gt;0,'Calculation Constants'!$B$9*Hydraulics!$K251^2/2/9.81/MAX($F$4:$F$253)*$H251,"")</f>
        <v>0.16326329219244826</v>
      </c>
      <c r="U251" s="19">
        <f t="shared" si="100"/>
        <v>3.432610822951256</v>
      </c>
      <c r="V251" s="19">
        <f t="shared" si="86"/>
        <v>0</v>
      </c>
      <c r="W251" s="19">
        <f t="shared" si="87"/>
        <v>156.86222871464531</v>
      </c>
      <c r="X251" s="23">
        <f t="shared" si="88"/>
        <v>1069.1152287146454</v>
      </c>
      <c r="Y251" s="22">
        <f>(1/(2*LOG(3.7*$I251/'Calculation Constants'!$B$3*1000)))^2</f>
        <v>1.0136821254400123E-2</v>
      </c>
      <c r="Z251" s="19">
        <f t="shared" si="89"/>
        <v>3.6777129119105498</v>
      </c>
      <c r="AA251" s="19">
        <f>IF($H251&gt;0,'Calculation Constants'!$B$9*Hydraulics!$K251^2/2/9.81/MAX($F$4:$F$253)*$H251,"")</f>
        <v>0.16326329219244826</v>
      </c>
      <c r="AB251" s="19">
        <f t="shared" si="108"/>
        <v>3.840976204102998</v>
      </c>
      <c r="AC251" s="19">
        <f t="shared" si="90"/>
        <v>0</v>
      </c>
      <c r="AD251" s="19">
        <f t="shared" si="101"/>
        <v>132.77543935887604</v>
      </c>
      <c r="AE251" s="23">
        <f t="shared" si="91"/>
        <v>1045.0284393588761</v>
      </c>
      <c r="AF251" s="27">
        <f>(1/(2*LOG(3.7*$I251/'Calculation Constants'!$B$4*1000)))^2</f>
        <v>1.1979797083255311E-2</v>
      </c>
      <c r="AG251" s="19">
        <f t="shared" si="92"/>
        <v>4.3463580257994474</v>
      </c>
      <c r="AH251" s="19">
        <f>IF($H251&gt;0,'Calculation Constants'!$B$9*Hydraulics!$K251^2/2/9.81/MAX($F$4:$F$253)*$H251,"")</f>
        <v>0.16326329219244826</v>
      </c>
      <c r="AI251" s="19">
        <f t="shared" si="102"/>
        <v>4.509621317991896</v>
      </c>
      <c r="AJ251" s="19">
        <f t="shared" si="93"/>
        <v>0</v>
      </c>
      <c r="AK251" s="19">
        <f t="shared" si="103"/>
        <v>93.505202572634516</v>
      </c>
      <c r="AL251" s="23">
        <f t="shared" si="94"/>
        <v>1005.7582025726346</v>
      </c>
      <c r="AM251" s="22">
        <f>(1/(2*LOG(3.7*($I251-0.008)/'Calculation Constants'!$B$5*1000)))^2</f>
        <v>1.5294398771411635E-2</v>
      </c>
      <c r="AN251" s="19">
        <f t="shared" si="104"/>
        <v>5.5786726888400349</v>
      </c>
      <c r="AO251" s="19">
        <f>IF($H251&gt;0,'Calculation Constants'!$B$9*Hydraulics!$K251^2/2/9.81/MAX($F$4:$F$253)*$H251,"")</f>
        <v>0.16326329219244826</v>
      </c>
      <c r="AP251" s="19">
        <f t="shared" si="105"/>
        <v>5.7419359810324835</v>
      </c>
      <c r="AQ251" s="19">
        <f t="shared" si="95"/>
        <v>0</v>
      </c>
      <c r="AR251" s="19">
        <f t="shared" si="106"/>
        <v>22.014061824189753</v>
      </c>
      <c r="AS251" s="23">
        <f t="shared" si="96"/>
        <v>934.2670618241898</v>
      </c>
    </row>
    <row r="252" spans="5:45">
      <c r="E252" s="35" t="str">
        <f t="shared" si="82"/>
        <v/>
      </c>
      <c r="F252" s="19">
        <f>'Profile data'!A252</f>
        <v>498</v>
      </c>
      <c r="G252" s="19">
        <f>VLOOKUP(F252,'Profile data'!A252:C511,IF($B$22="Botswana 1",2,3))</f>
        <v>915.29700000000003</v>
      </c>
      <c r="H252" s="19">
        <f t="shared" si="107"/>
        <v>2</v>
      </c>
      <c r="I252" s="19">
        <v>1.5</v>
      </c>
      <c r="J252" s="36">
        <f>'Flow Rate Calculations'!$B$7</f>
        <v>4.0831050228310497</v>
      </c>
      <c r="K252" s="36">
        <f t="shared" si="97"/>
        <v>2.3105647912778942</v>
      </c>
      <c r="L252" s="37">
        <f>$I252*$K252/'Calculation Constants'!$B$7</f>
        <v>3067121.4043511869</v>
      </c>
      <c r="M252" s="37">
        <f t="shared" si="83"/>
        <v>163.721</v>
      </c>
      <c r="N252" s="23">
        <f t="shared" si="98"/>
        <v>150.38561789169398</v>
      </c>
      <c r="O252" s="56">
        <f t="shared" si="84"/>
        <v>163.721</v>
      </c>
      <c r="P252" s="65">
        <f>MAX(I252*1000/'Calculation Constants'!$B$14,O252*10*I252*1000/2/('Calculation Constants'!$B$12*1000*'Calculation Constants'!$B$13))</f>
        <v>9.375</v>
      </c>
      <c r="Q252" s="67">
        <f t="shared" si="85"/>
        <v>689269.72334380972</v>
      </c>
      <c r="R252" s="27">
        <f>(1/(2*LOG(3.7*$I252/'Calculation Constants'!$B$2*1000)))^2</f>
        <v>9.0112502883211744E-3</v>
      </c>
      <c r="S252" s="19">
        <f t="shared" si="99"/>
        <v>3.2693475307588078</v>
      </c>
      <c r="T252" s="19">
        <f>IF($H252&gt;0,'Calculation Constants'!$B$9*Hydraulics!$K252^2/2/9.81/MAX($F$4:$F$253)*$H252,"")</f>
        <v>0.16326329219244826</v>
      </c>
      <c r="U252" s="19">
        <f t="shared" si="100"/>
        <v>3.432610822951256</v>
      </c>
      <c r="V252" s="19">
        <f t="shared" si="86"/>
        <v>0</v>
      </c>
      <c r="W252" s="19">
        <f t="shared" si="87"/>
        <v>150.38561789169398</v>
      </c>
      <c r="X252" s="23">
        <f t="shared" si="88"/>
        <v>1065.682617891694</v>
      </c>
      <c r="Y252" s="22">
        <f>(1/(2*LOG(3.7*$I252/'Calculation Constants'!$B$3*1000)))^2</f>
        <v>1.0136821254400123E-2</v>
      </c>
      <c r="Z252" s="19">
        <f t="shared" si="89"/>
        <v>3.6777129119105498</v>
      </c>
      <c r="AA252" s="19">
        <f>IF($H252&gt;0,'Calculation Constants'!$B$9*Hydraulics!$K252^2/2/9.81/MAX($F$4:$F$253)*$H252,"")</f>
        <v>0.16326329219244826</v>
      </c>
      <c r="AB252" s="19">
        <f t="shared" si="108"/>
        <v>3.840976204102998</v>
      </c>
      <c r="AC252" s="19">
        <f t="shared" si="90"/>
        <v>0</v>
      </c>
      <c r="AD252" s="19">
        <f t="shared" si="101"/>
        <v>125.89046315477299</v>
      </c>
      <c r="AE252" s="23">
        <f t="shared" si="91"/>
        <v>1041.187463154773</v>
      </c>
      <c r="AF252" s="27">
        <f>(1/(2*LOG(3.7*$I252/'Calculation Constants'!$B$4*1000)))^2</f>
        <v>1.1979797083255311E-2</v>
      </c>
      <c r="AG252" s="19">
        <f t="shared" si="92"/>
        <v>4.3463580257994474</v>
      </c>
      <c r="AH252" s="19">
        <f>IF($H252&gt;0,'Calculation Constants'!$B$9*Hydraulics!$K252^2/2/9.81/MAX($F$4:$F$253)*$H252,"")</f>
        <v>0.16326329219244826</v>
      </c>
      <c r="AI252" s="19">
        <f t="shared" si="102"/>
        <v>4.509621317991896</v>
      </c>
      <c r="AJ252" s="19">
        <f t="shared" si="93"/>
        <v>0</v>
      </c>
      <c r="AK252" s="19">
        <f t="shared" si="103"/>
        <v>85.951581254642633</v>
      </c>
      <c r="AL252" s="23">
        <f t="shared" si="94"/>
        <v>1001.2485812546427</v>
      </c>
      <c r="AM252" s="22">
        <f>(1/(2*LOG(3.7*($I252-0.008)/'Calculation Constants'!$B$5*1000)))^2</f>
        <v>1.5294398771411635E-2</v>
      </c>
      <c r="AN252" s="19">
        <f t="shared" si="104"/>
        <v>5.5786726888400349</v>
      </c>
      <c r="AO252" s="19">
        <f>IF($H252&gt;0,'Calculation Constants'!$B$9*Hydraulics!$K252^2/2/9.81/MAX($F$4:$F$253)*$H252,"")</f>
        <v>0.16326329219244826</v>
      </c>
      <c r="AP252" s="19">
        <f t="shared" si="105"/>
        <v>5.7419359810324835</v>
      </c>
      <c r="AQ252" s="19">
        <f t="shared" si="95"/>
        <v>0</v>
      </c>
      <c r="AR252" s="19">
        <f t="shared" si="106"/>
        <v>13.228125843157272</v>
      </c>
      <c r="AS252" s="23">
        <f t="shared" si="96"/>
        <v>928.5251258431573</v>
      </c>
    </row>
    <row r="253" spans="5:45" ht="15.75" thickBot="1">
      <c r="E253" s="38" t="str">
        <f t="shared" si="82"/>
        <v>Reservoir</v>
      </c>
      <c r="F253" s="25">
        <f>'Profile data'!A253</f>
        <v>500</v>
      </c>
      <c r="G253" s="25">
        <f>VLOOKUP(F253,'Profile data'!A253:C512,IF($B$22="Botswana 1",2,3))</f>
        <v>919.62900000000002</v>
      </c>
      <c r="H253" s="25">
        <f t="shared" si="107"/>
        <v>2</v>
      </c>
      <c r="I253" s="25">
        <v>1.5</v>
      </c>
      <c r="J253" s="39">
        <f>'Flow Rate Calculations'!$B$7</f>
        <v>4.0831050228310497</v>
      </c>
      <c r="K253" s="39">
        <f t="shared" si="97"/>
        <v>2.3105647912778942</v>
      </c>
      <c r="L253" s="40">
        <f>$I253*$K253/'Calculation Constants'!$B$7</f>
        <v>3067121.4043511869</v>
      </c>
      <c r="M253" s="40">
        <f t="shared" si="83"/>
        <v>10</v>
      </c>
      <c r="N253" s="26">
        <f t="shared" si="98"/>
        <v>10</v>
      </c>
      <c r="O253" s="57">
        <f t="shared" si="84"/>
        <v>10</v>
      </c>
      <c r="P253" s="66">
        <f>MAX(I253*1000/'Calculation Constants'!$B$14,O253*10*I253*1000/2/('Calculation Constants'!$B$12*1000*'Calculation Constants'!$B$13))</f>
        <v>9.375</v>
      </c>
      <c r="Q253" s="68">
        <f t="shared" si="85"/>
        <v>689269.72334380972</v>
      </c>
      <c r="R253" s="30">
        <f>(1/(2*LOG(3.7*$I253/'Calculation Constants'!$B$2*1000)))^2</f>
        <v>9.0112502883211744E-3</v>
      </c>
      <c r="S253" s="25">
        <f t="shared" si="99"/>
        <v>3.2693475307588078</v>
      </c>
      <c r="T253" s="25">
        <f>IF($H253&gt;0,'Calculation Constants'!$B$9*Hydraulics!$K253^2/2/9.81/MAX($F$4:$F$253)*$H253,"")</f>
        <v>0.16326329219244826</v>
      </c>
      <c r="U253" s="25">
        <f t="shared" si="100"/>
        <v>3.432610822951256</v>
      </c>
      <c r="V253" s="25">
        <f t="shared" si="86"/>
        <v>0</v>
      </c>
      <c r="W253" s="25">
        <f t="shared" si="87"/>
        <v>10</v>
      </c>
      <c r="X253" s="26">
        <f t="shared" si="88"/>
        <v>929.62900000000002</v>
      </c>
      <c r="Y253" s="24">
        <f>(1/(2*LOG(3.7*$I253/'Calculation Constants'!$B$3*1000)))^2</f>
        <v>1.0136821254400123E-2</v>
      </c>
      <c r="Z253" s="25">
        <f t="shared" si="89"/>
        <v>3.6777129119105498</v>
      </c>
      <c r="AA253" s="25">
        <f>IF($H253&gt;0,'Calculation Constants'!$B$9*Hydraulics!$K253^2/2/9.81/MAX($F$4:$F$253)*$H253,"")</f>
        <v>0.16326329219244826</v>
      </c>
      <c r="AB253" s="25">
        <f t="shared" si="108"/>
        <v>3.840976204102998</v>
      </c>
      <c r="AC253" s="25">
        <f t="shared" si="90"/>
        <v>0</v>
      </c>
      <c r="AD253" s="25">
        <f t="shared" si="101"/>
        <v>10</v>
      </c>
      <c r="AE253" s="26">
        <f t="shared" si="91"/>
        <v>929.62900000000002</v>
      </c>
      <c r="AF253" s="30">
        <f>(1/(2*LOG(3.7*$I253/'Calculation Constants'!$B$4*1000)))^2</f>
        <v>1.1979797083255311E-2</v>
      </c>
      <c r="AG253" s="25">
        <f t="shared" si="92"/>
        <v>4.3463580257994474</v>
      </c>
      <c r="AH253" s="25">
        <f>IF($H253&gt;0,'Calculation Constants'!$B$9*Hydraulics!$K253^2/2/9.81/MAX($F$4:$F$253)*$H253,"")</f>
        <v>0.16326329219244826</v>
      </c>
      <c r="AI253" s="25">
        <f t="shared" si="102"/>
        <v>4.509621317991896</v>
      </c>
      <c r="AJ253" s="25">
        <f t="shared" si="93"/>
        <v>0</v>
      </c>
      <c r="AK253" s="25">
        <f t="shared" si="103"/>
        <v>10</v>
      </c>
      <c r="AL253" s="26">
        <f t="shared" si="94"/>
        <v>929.62900000000002</v>
      </c>
      <c r="AM253" s="24">
        <f>(1/(2*LOG(3.7*($I253-0.008)/'Calculation Constants'!$B$5*1000)))^2</f>
        <v>1.5294398771411635E-2</v>
      </c>
      <c r="AN253" s="25">
        <f t="shared" si="104"/>
        <v>5.5786726888400349</v>
      </c>
      <c r="AO253" s="25">
        <f>IF($H253&gt;0,'Calculation Constants'!$B$9*Hydraulics!$K253^2/2/9.81/MAX($F$4:$F$253)*$H253,"")</f>
        <v>0.16326329219244826</v>
      </c>
      <c r="AP253" s="25">
        <f t="shared" si="105"/>
        <v>5.7419359810324835</v>
      </c>
      <c r="AQ253" s="25">
        <f t="shared" si="95"/>
        <v>0</v>
      </c>
      <c r="AR253" s="25">
        <f t="shared" si="106"/>
        <v>10</v>
      </c>
      <c r="AS253" s="26">
        <f t="shared" si="96"/>
        <v>929.62900000000002</v>
      </c>
    </row>
    <row r="254" spans="5:45" ht="15.75" thickBot="1"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 t="s">
        <v>77</v>
      </c>
      <c r="Q254" s="69">
        <f>SUM(Q4:Q253)</f>
        <v>395240720.46620595</v>
      </c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</row>
    <row r="255" spans="5:45" ht="15.75" thickTop="1">
      <c r="Q255" s="70"/>
    </row>
  </sheetData>
  <mergeCells count="9">
    <mergeCell ref="R1:AS1"/>
    <mergeCell ref="A1:D1"/>
    <mergeCell ref="A2:D2"/>
    <mergeCell ref="A9:D9"/>
    <mergeCell ref="AM2:AS2"/>
    <mergeCell ref="Y2:AE2"/>
    <mergeCell ref="E2:N2"/>
    <mergeCell ref="O2:Q2"/>
    <mergeCell ref="E1:Q1"/>
  </mergeCells>
  <dataValidations count="3">
    <dataValidation type="decimal" operator="greaterThanOrEqual" allowBlank="1" showInputMessage="1" showErrorMessage="1" sqref="W4:W253 AR4:AR253 AK4:AK253 AD4:AD25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7" fitToHeight="9" orientation="portrait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2010-05-21T13:20:52Z</cp:lastPrinted>
  <dcterms:created xsi:type="dcterms:W3CDTF">2010-04-20T13:30:20Z</dcterms:created>
  <dcterms:modified xsi:type="dcterms:W3CDTF">2010-08-17T09:42:42Z</dcterms:modified>
</cp:coreProperties>
</file>