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/>
  </bookViews>
  <sheets>
    <sheet name="Summary" sheetId="8" r:id="rId1"/>
    <sheet name="Profile data" sheetId="2" r:id="rId2"/>
    <sheet name="Flow Rate Calculations" sheetId="3" r:id="rId3"/>
    <sheet name="Calculation Constants" sheetId="5" r:id="rId4"/>
    <sheet name="Hydraulics" sheetId="4" r:id="rId5"/>
    <sheet name="Profile" sheetId="7" r:id="rId6"/>
  </sheets>
  <definedNames>
    <definedName name="Chaiange">Hydraulics!$F$4:$F$253</definedName>
    <definedName name="_xlnm.Print_Area" localSheetId="4">Hydraulics!$E$1:$Q$254</definedName>
    <definedName name="_xlnm.Print_Titles" localSheetId="4">Hydraulics!$1:$3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F4" i="4"/>
  <c r="F5"/>
  <c r="E5" s="1"/>
  <c r="F6"/>
  <c r="E6" s="1"/>
  <c r="F7"/>
  <c r="E7" s="1"/>
  <c r="F8"/>
  <c r="E8" s="1"/>
  <c r="F9"/>
  <c r="E9" s="1"/>
  <c r="F10"/>
  <c r="E10" s="1"/>
  <c r="F11"/>
  <c r="E11" s="1"/>
  <c r="F12"/>
  <c r="E12" s="1"/>
  <c r="F13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4"/>
  <c r="E1"/>
  <c r="R1" s="1"/>
  <c r="AN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4"/>
  <c r="AO4" l="1"/>
  <c r="AP4"/>
  <c r="AH4"/>
  <c r="AG4"/>
  <c r="AI4" s="1"/>
  <c r="AA4"/>
  <c r="T4"/>
  <c r="Z4"/>
  <c r="AB4" s="1"/>
  <c r="S4"/>
  <c r="U4" s="1"/>
  <c r="B7" i="3" l="1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4"/>
  <c r="K4" s="1"/>
  <c r="L4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4"/>
  <c r="AQ4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4"/>
  <c r="C11" s="1"/>
  <c r="C15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62"/>
  <c r="H117"/>
  <c r="AN117" s="1"/>
  <c r="H115"/>
  <c r="AN115" s="1"/>
  <c r="H113"/>
  <c r="AN113" s="1"/>
  <c r="H111"/>
  <c r="AN111" s="1"/>
  <c r="H109"/>
  <c r="AN109" s="1"/>
  <c r="H105"/>
  <c r="AN105" s="1"/>
  <c r="H103"/>
  <c r="H101"/>
  <c r="AN101" s="1"/>
  <c r="H99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116"/>
  <c r="AN116" s="1"/>
  <c r="H114"/>
  <c r="H112"/>
  <c r="AN112" s="1"/>
  <c r="H110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H88"/>
  <c r="AN88" s="1"/>
  <c r="H86"/>
  <c r="H84"/>
  <c r="AN84" s="1"/>
  <c r="H82"/>
  <c r="H80"/>
  <c r="AN80" s="1"/>
  <c r="H78"/>
  <c r="H76"/>
  <c r="AN76" s="1"/>
  <c r="H74"/>
  <c r="H72"/>
  <c r="AN72" s="1"/>
  <c r="H70"/>
  <c r="H68"/>
  <c r="AN68" s="1"/>
  <c r="H66"/>
  <c r="H64"/>
  <c r="AN64" s="1"/>
  <c r="H62"/>
  <c r="H60"/>
  <c r="AN60" s="1"/>
  <c r="H58"/>
  <c r="H56"/>
  <c r="AN56" s="1"/>
  <c r="H54"/>
  <c r="H52"/>
  <c r="AN52" s="1"/>
  <c r="H50"/>
  <c r="H46"/>
  <c r="AN46" s="1"/>
  <c r="H44"/>
  <c r="AN44" s="1"/>
  <c r="H40"/>
  <c r="AN40" s="1"/>
  <c r="H38"/>
  <c r="H36"/>
  <c r="AN36" s="1"/>
  <c r="H34"/>
  <c r="H32"/>
  <c r="AN32" s="1"/>
  <c r="H30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H48"/>
  <c r="AN48" s="1"/>
  <c r="H94"/>
  <c r="H5"/>
  <c r="AN5" s="1"/>
  <c r="H42"/>
  <c r="H28"/>
  <c r="AN28" s="1"/>
  <c r="AN42" l="1"/>
  <c r="AN94"/>
  <c r="AN95"/>
  <c r="AN30"/>
  <c r="AN34"/>
  <c r="AN38"/>
  <c r="AN50"/>
  <c r="AN54"/>
  <c r="AN58"/>
  <c r="AN62"/>
  <c r="AN66"/>
  <c r="AN70"/>
  <c r="AN74"/>
  <c r="AN78"/>
  <c r="AN82"/>
  <c r="AN86"/>
  <c r="AN90"/>
  <c r="AN110"/>
  <c r="AN114"/>
  <c r="AN99"/>
  <c r="AN103"/>
  <c r="AE14"/>
  <c r="AL14"/>
  <c r="AS14"/>
  <c r="X14"/>
  <c r="W4"/>
  <c r="N4" s="1"/>
  <c r="X4"/>
  <c r="AL4"/>
  <c r="AS4"/>
  <c r="AE4"/>
  <c r="C13"/>
  <c r="C16"/>
  <c r="C5"/>
  <c r="C18"/>
  <c r="AO5"/>
  <c r="AO10"/>
  <c r="AO18"/>
  <c r="AO26"/>
  <c r="AO36"/>
  <c r="AO46"/>
  <c r="AO56"/>
  <c r="AO64"/>
  <c r="AO72"/>
  <c r="AO80"/>
  <c r="AO88"/>
  <c r="AO98"/>
  <c r="AO106"/>
  <c r="AO116"/>
  <c r="AO9"/>
  <c r="AO17"/>
  <c r="AO25"/>
  <c r="AO33"/>
  <c r="AO41"/>
  <c r="AO49"/>
  <c r="AO57"/>
  <c r="AO65"/>
  <c r="AO73"/>
  <c r="AO81"/>
  <c r="AO89"/>
  <c r="AO99"/>
  <c r="AO109"/>
  <c r="AO117"/>
  <c r="AO94"/>
  <c r="AO8"/>
  <c r="AO24"/>
  <c r="AO44"/>
  <c r="AO54"/>
  <c r="AO62"/>
  <c r="AP62" s="1"/>
  <c r="AO70"/>
  <c r="AO78"/>
  <c r="AP78" s="1"/>
  <c r="AO86"/>
  <c r="AO96"/>
  <c r="AO104"/>
  <c r="AO114"/>
  <c r="AP114" s="1"/>
  <c r="AO7"/>
  <c r="AO15"/>
  <c r="AO23"/>
  <c r="AO31"/>
  <c r="AO39"/>
  <c r="AO47"/>
  <c r="AO55"/>
  <c r="AO63"/>
  <c r="AO71"/>
  <c r="AO79"/>
  <c r="AO87"/>
  <c r="AO97"/>
  <c r="AO105"/>
  <c r="AO115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3"/>
  <c r="AO21"/>
  <c r="AO29"/>
  <c r="AO37"/>
  <c r="AO45"/>
  <c r="AO53"/>
  <c r="AO61"/>
  <c r="AO69"/>
  <c r="AO77"/>
  <c r="AO85"/>
  <c r="AO93"/>
  <c r="AO103"/>
  <c r="AO113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"/>
  <c r="AO19"/>
  <c r="AO27"/>
  <c r="AO35"/>
  <c r="AO43"/>
  <c r="AO51"/>
  <c r="AO59"/>
  <c r="AO67"/>
  <c r="AO75"/>
  <c r="AO83"/>
  <c r="AO91"/>
  <c r="AO101"/>
  <c r="AO111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E117" l="1"/>
  <c r="AL117"/>
  <c r="AS117"/>
  <c r="X117"/>
  <c r="M4"/>
  <c r="AI87"/>
  <c r="AI79"/>
  <c r="AI71"/>
  <c r="AI63"/>
  <c r="AI55"/>
  <c r="AI47"/>
  <c r="AI39"/>
  <c r="AI31"/>
  <c r="AI23"/>
  <c r="AI15"/>
  <c r="AL15" s="1"/>
  <c r="AI7"/>
  <c r="AI104"/>
  <c r="AI89"/>
  <c r="AI81"/>
  <c r="AI73"/>
  <c r="AI65"/>
  <c r="AI57"/>
  <c r="AI49"/>
  <c r="AI41"/>
  <c r="AI33"/>
  <c r="AI25"/>
  <c r="AI17"/>
  <c r="AI9"/>
  <c r="AI116"/>
  <c r="AI106"/>
  <c r="AI98"/>
  <c r="AI100"/>
  <c r="U72"/>
  <c r="U38"/>
  <c r="AI5"/>
  <c r="AL5" s="1"/>
  <c r="U73"/>
  <c r="U92"/>
  <c r="U76"/>
  <c r="U56"/>
  <c r="U36"/>
  <c r="U22"/>
  <c r="AB22" s="1"/>
  <c r="U10"/>
  <c r="U6"/>
  <c r="U84"/>
  <c r="U86"/>
  <c r="U117"/>
  <c r="U115"/>
  <c r="U105"/>
  <c r="U91"/>
  <c r="U83"/>
  <c r="U75"/>
  <c r="U67"/>
  <c r="U59"/>
  <c r="U51"/>
  <c r="U43"/>
  <c r="U35"/>
  <c r="U11"/>
  <c r="U110"/>
  <c r="U100"/>
  <c r="U90"/>
  <c r="U82"/>
  <c r="U58"/>
  <c r="U30"/>
  <c r="AB30" s="1"/>
  <c r="U12"/>
  <c r="U108"/>
  <c r="U89"/>
  <c r="U41"/>
  <c r="U25"/>
  <c r="U17"/>
  <c r="AB17" s="1"/>
  <c r="U98"/>
  <c r="U64"/>
  <c r="U46"/>
  <c r="AB46" s="1"/>
  <c r="U14"/>
  <c r="U97"/>
  <c r="U71"/>
  <c r="U23"/>
  <c r="U104"/>
  <c r="U70"/>
  <c r="U62"/>
  <c r="U16"/>
  <c r="U113"/>
  <c r="U69"/>
  <c r="U61"/>
  <c r="U53"/>
  <c r="U37"/>
  <c r="U29"/>
  <c r="U21"/>
  <c r="U68"/>
  <c r="AB68" s="1"/>
  <c r="U40"/>
  <c r="U18"/>
  <c r="AP116"/>
  <c r="AP80"/>
  <c r="AP64"/>
  <c r="AB61"/>
  <c r="U9"/>
  <c r="AB115"/>
  <c r="AB73"/>
  <c r="U111"/>
  <c r="U101"/>
  <c r="U55"/>
  <c r="U44"/>
  <c r="AB44" s="1"/>
  <c r="U77"/>
  <c r="AB77" s="1"/>
  <c r="AB18"/>
  <c r="AB91"/>
  <c r="AB62"/>
  <c r="AB29"/>
  <c r="AB21"/>
  <c r="AB40"/>
  <c r="AB12"/>
  <c r="AB37"/>
  <c r="AB100"/>
  <c r="AB53"/>
  <c r="AB84"/>
  <c r="AB92"/>
  <c r="AB10"/>
  <c r="U79"/>
  <c r="U63"/>
  <c r="U31"/>
  <c r="U27"/>
  <c r="AB27" s="1"/>
  <c r="U19"/>
  <c r="U7"/>
  <c r="U114"/>
  <c r="U78"/>
  <c r="U50"/>
  <c r="U93"/>
  <c r="U49"/>
  <c r="AB49" s="1"/>
  <c r="U106"/>
  <c r="AB106" s="1"/>
  <c r="U52"/>
  <c r="U26"/>
  <c r="AP111"/>
  <c r="AP91"/>
  <c r="AP75"/>
  <c r="AP59"/>
  <c r="AP43"/>
  <c r="AP27"/>
  <c r="AP11"/>
  <c r="AP20"/>
  <c r="AP108"/>
  <c r="AP103"/>
  <c r="AP85"/>
  <c r="AP69"/>
  <c r="AP53"/>
  <c r="AP37"/>
  <c r="AP21"/>
  <c r="AP84"/>
  <c r="AP68"/>
  <c r="AP52"/>
  <c r="AP32"/>
  <c r="AP48"/>
  <c r="AP95"/>
  <c r="AP107"/>
  <c r="AP105"/>
  <c r="AP87"/>
  <c r="AP71"/>
  <c r="AP55"/>
  <c r="AP39"/>
  <c r="AP23"/>
  <c r="AP7"/>
  <c r="AP104"/>
  <c r="AP24"/>
  <c r="AP109"/>
  <c r="AP89"/>
  <c r="AP73"/>
  <c r="AP57"/>
  <c r="AP41"/>
  <c r="AP25"/>
  <c r="AP9"/>
  <c r="AP88"/>
  <c r="AP72"/>
  <c r="AP56"/>
  <c r="AP36"/>
  <c r="AP5"/>
  <c r="AS5" s="1"/>
  <c r="AS6" s="1"/>
  <c r="AB111"/>
  <c r="U87"/>
  <c r="AB87" s="1"/>
  <c r="U47"/>
  <c r="AB47" s="1"/>
  <c r="U39"/>
  <c r="AB39" s="1"/>
  <c r="U15"/>
  <c r="AB15" s="1"/>
  <c r="AE15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112"/>
  <c r="AB112" s="1"/>
  <c r="U80"/>
  <c r="AB80" s="1"/>
  <c r="U60"/>
  <c r="AB60" s="1"/>
  <c r="U32"/>
  <c r="AB32" s="1"/>
  <c r="AI83"/>
  <c r="AI67"/>
  <c r="AI43"/>
  <c r="AI114"/>
  <c r="AI96"/>
  <c r="AI94"/>
  <c r="AI93"/>
  <c r="AI85"/>
  <c r="AI77"/>
  <c r="AI69"/>
  <c r="AI61"/>
  <c r="AI53"/>
  <c r="AI45"/>
  <c r="AI37"/>
  <c r="AI29"/>
  <c r="AI21"/>
  <c r="AI13"/>
  <c r="AI112"/>
  <c r="AI102"/>
  <c r="AI110"/>
  <c r="AP110"/>
  <c r="AP90"/>
  <c r="AP74"/>
  <c r="AP58"/>
  <c r="AP38"/>
  <c r="AP102"/>
  <c r="AP14"/>
  <c r="AP34"/>
  <c r="AP86"/>
  <c r="AP70"/>
  <c r="AP54"/>
  <c r="AP94"/>
  <c r="AP106"/>
  <c r="AP18"/>
  <c r="AD4"/>
  <c r="AR4"/>
  <c r="AB14"/>
  <c r="AB56"/>
  <c r="AB26"/>
  <c r="AB72"/>
  <c r="AI91"/>
  <c r="AI75"/>
  <c r="AI59"/>
  <c r="AI51"/>
  <c r="AI35"/>
  <c r="AI27"/>
  <c r="AI19"/>
  <c r="AI11"/>
  <c r="AP101"/>
  <c r="AP83"/>
  <c r="AP67"/>
  <c r="AP51"/>
  <c r="AP35"/>
  <c r="AP19"/>
  <c r="AP100"/>
  <c r="AP12"/>
  <c r="AP113"/>
  <c r="AP93"/>
  <c r="AP77"/>
  <c r="AP61"/>
  <c r="AP45"/>
  <c r="AP29"/>
  <c r="AP13"/>
  <c r="AP112"/>
  <c r="AP92"/>
  <c r="AP76"/>
  <c r="AP60"/>
  <c r="AP40"/>
  <c r="AP28"/>
  <c r="AP16"/>
  <c r="AP115"/>
  <c r="AP97"/>
  <c r="AP79"/>
  <c r="AP63"/>
  <c r="AP47"/>
  <c r="AP31"/>
  <c r="AP15"/>
  <c r="AS15" s="1"/>
  <c r="AP96"/>
  <c r="AP44"/>
  <c r="AP8"/>
  <c r="AP117"/>
  <c r="AP99"/>
  <c r="AP81"/>
  <c r="AP65"/>
  <c r="AP49"/>
  <c r="AP33"/>
  <c r="AP17"/>
  <c r="AB64"/>
  <c r="AB52"/>
  <c r="AB98"/>
  <c r="AB76"/>
  <c r="AB36"/>
  <c r="AB6"/>
  <c r="AP98"/>
  <c r="AP46"/>
  <c r="AP26"/>
  <c r="AP10"/>
  <c r="AI108"/>
  <c r="AI115"/>
  <c r="AI111"/>
  <c r="AI105"/>
  <c r="AI101"/>
  <c r="AI97"/>
  <c r="AI78"/>
  <c r="AI66"/>
  <c r="AI58"/>
  <c r="AI38"/>
  <c r="AI20"/>
  <c r="AI117"/>
  <c r="AI113"/>
  <c r="AI109"/>
  <c r="AI103"/>
  <c r="AI99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86"/>
  <c r="AB83"/>
  <c r="AB79"/>
  <c r="AB75"/>
  <c r="AB70"/>
  <c r="AB67"/>
  <c r="AB63"/>
  <c r="AB59"/>
  <c r="AB55"/>
  <c r="AB51"/>
  <c r="AB117"/>
  <c r="AB113"/>
  <c r="AB110"/>
  <c r="AB105"/>
  <c r="AB101"/>
  <c r="AB93"/>
  <c r="AB90"/>
  <c r="AB69"/>
  <c r="AB41"/>
  <c r="AB25"/>
  <c r="AB9"/>
  <c r="AB108"/>
  <c r="AB82"/>
  <c r="U107"/>
  <c r="AB107" s="1"/>
  <c r="U109"/>
  <c r="AB109" s="1"/>
  <c r="U116"/>
  <c r="AB116" s="1"/>
  <c r="U45"/>
  <c r="AB45" s="1"/>
  <c r="U13"/>
  <c r="AB13" s="1"/>
  <c r="U88"/>
  <c r="AB88" s="1"/>
  <c r="U102"/>
  <c r="AB102" s="1"/>
  <c r="U94"/>
  <c r="AB94" s="1"/>
  <c r="U42"/>
  <c r="AB42" s="1"/>
  <c r="U5"/>
  <c r="U28"/>
  <c r="AB28" s="1"/>
  <c r="U48"/>
  <c r="AB48" s="1"/>
  <c r="O4" l="1"/>
  <c r="P4" s="1"/>
  <c r="Q4" s="1"/>
  <c r="AS16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7"/>
  <c r="AS8" s="1"/>
  <c r="AS9" s="1"/>
  <c r="AS10" s="1"/>
  <c r="AS11" s="1"/>
  <c r="AS12" s="1"/>
  <c r="AS13" s="1"/>
  <c r="AE16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L6"/>
  <c r="AL7" s="1"/>
  <c r="AL8" s="1"/>
  <c r="AL9" s="1"/>
  <c r="AL10" s="1"/>
  <c r="AL11" s="1"/>
  <c r="AL12" s="1"/>
  <c r="AL13" s="1"/>
  <c r="AL16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T139"/>
  <c r="AT140" s="1"/>
  <c r="X15"/>
  <c r="X16" s="1"/>
  <c r="X17" s="1"/>
  <c r="X18" s="1"/>
  <c r="X19" s="1"/>
  <c r="X20" s="1"/>
  <c r="X21" s="1"/>
  <c r="X22" s="1"/>
  <c r="X23" s="1"/>
  <c r="X24" s="1"/>
  <c r="X25" s="1"/>
  <c r="X26" s="1"/>
  <c r="X27" s="1"/>
  <c r="X28" s="1"/>
  <c r="X29" s="1"/>
  <c r="X30" s="1"/>
  <c r="X31" s="1"/>
  <c r="X32" s="1"/>
  <c r="X33" s="1"/>
  <c r="X34" s="1"/>
  <c r="X35" s="1"/>
  <c r="X36" s="1"/>
  <c r="X37" s="1"/>
  <c r="X38" s="1"/>
  <c r="X39" s="1"/>
  <c r="X40" s="1"/>
  <c r="X41" s="1"/>
  <c r="X42" s="1"/>
  <c r="X43" s="1"/>
  <c r="X44" s="1"/>
  <c r="X45" s="1"/>
  <c r="X46" s="1"/>
  <c r="X47" s="1"/>
  <c r="X48" s="1"/>
  <c r="X49" s="1"/>
  <c r="X50" s="1"/>
  <c r="X51" s="1"/>
  <c r="X52" s="1"/>
  <c r="X53" s="1"/>
  <c r="X54" s="1"/>
  <c r="X55" s="1"/>
  <c r="X56" s="1"/>
  <c r="X57" s="1"/>
  <c r="X58" s="1"/>
  <c r="X59" s="1"/>
  <c r="X60" s="1"/>
  <c r="X61" s="1"/>
  <c r="X62" s="1"/>
  <c r="X63" s="1"/>
  <c r="X64" s="1"/>
  <c r="X65" s="1"/>
  <c r="X66" s="1"/>
  <c r="X67" s="1"/>
  <c r="X68" s="1"/>
  <c r="X69" s="1"/>
  <c r="X70" s="1"/>
  <c r="X71" s="1"/>
  <c r="X72" s="1"/>
  <c r="X73" s="1"/>
  <c r="X74" s="1"/>
  <c r="X75" s="1"/>
  <c r="X76" s="1"/>
  <c r="X77" s="1"/>
  <c r="X78" s="1"/>
  <c r="X79" s="1"/>
  <c r="X80" s="1"/>
  <c r="X81" s="1"/>
  <c r="X82" s="1"/>
  <c r="X83" s="1"/>
  <c r="X84" s="1"/>
  <c r="X85" s="1"/>
  <c r="X86" s="1"/>
  <c r="X87" s="1"/>
  <c r="X88" s="1"/>
  <c r="X89" s="1"/>
  <c r="X90" s="1"/>
  <c r="X91" s="1"/>
  <c r="X92" s="1"/>
  <c r="X93" s="1"/>
  <c r="X94" s="1"/>
  <c r="X95" s="1"/>
  <c r="X96" s="1"/>
  <c r="X97" s="1"/>
  <c r="X98" s="1"/>
  <c r="X99" s="1"/>
  <c r="X100" s="1"/>
  <c r="X101" s="1"/>
  <c r="X102" s="1"/>
  <c r="X103" s="1"/>
  <c r="X104" s="1"/>
  <c r="X105" s="1"/>
  <c r="X106" s="1"/>
  <c r="X107" s="1"/>
  <c r="X108" s="1"/>
  <c r="X109" s="1"/>
  <c r="X110" s="1"/>
  <c r="X111" s="1"/>
  <c r="X112" s="1"/>
  <c r="X113" s="1"/>
  <c r="X114" s="1"/>
  <c r="X115" s="1"/>
  <c r="X116" s="1"/>
  <c r="X5"/>
  <c r="X6" s="1"/>
  <c r="X7" s="1"/>
  <c r="X8" s="1"/>
  <c r="X9" s="1"/>
  <c r="X10" s="1"/>
  <c r="X11" s="1"/>
  <c r="X12" s="1"/>
  <c r="X13" s="1"/>
  <c r="AK5"/>
  <c r="AK4"/>
  <c r="AB5"/>
  <c r="AE5" s="1"/>
  <c r="AE6" s="1"/>
  <c r="AE7" s="1"/>
  <c r="AE8" s="1"/>
  <c r="AE9" s="1"/>
  <c r="AE10" s="1"/>
  <c r="AE11" s="1"/>
  <c r="AE12" s="1"/>
  <c r="AE13" s="1"/>
  <c r="M6" l="1"/>
  <c r="M5"/>
  <c r="M7"/>
  <c r="AD5"/>
  <c r="AR5"/>
  <c r="O5" l="1"/>
  <c r="P5" s="1"/>
  <c r="Q5" s="1"/>
  <c r="M8"/>
  <c r="AD6"/>
  <c r="O6" s="1"/>
  <c r="P6" s="1"/>
  <c r="Q6" s="1"/>
  <c r="AK6"/>
  <c r="AR6"/>
  <c r="M9" l="1"/>
  <c r="AD7"/>
  <c r="O7" s="1"/>
  <c r="P7" s="1"/>
  <c r="Q7" s="1"/>
  <c r="AR7"/>
  <c r="AK7"/>
  <c r="M10" l="1"/>
  <c r="AD8"/>
  <c r="O8" s="1"/>
  <c r="P8" s="1"/>
  <c r="Q8" s="1"/>
  <c r="AR8"/>
  <c r="AK8"/>
  <c r="M11" l="1"/>
  <c r="AR9"/>
  <c r="AD9"/>
  <c r="O9" s="1"/>
  <c r="P9" s="1"/>
  <c r="Q9" s="1"/>
  <c r="AK9"/>
  <c r="M12" l="1"/>
  <c r="AD10"/>
  <c r="O10" s="1"/>
  <c r="P10" s="1"/>
  <c r="Q10" s="1"/>
  <c r="AR10"/>
  <c r="AK10"/>
  <c r="M13" l="1"/>
  <c r="AD11"/>
  <c r="O11" s="1"/>
  <c r="P11" s="1"/>
  <c r="Q11" s="1"/>
  <c r="AK11"/>
  <c r="AR11"/>
  <c r="M14" l="1"/>
  <c r="AK12"/>
  <c r="AR12"/>
  <c r="AD12"/>
  <c r="O12" s="1"/>
  <c r="P12" s="1"/>
  <c r="Q12" s="1"/>
  <c r="M15" l="1"/>
  <c r="AD13"/>
  <c r="O13" s="1"/>
  <c r="P13" s="1"/>
  <c r="Q13" s="1"/>
  <c r="AR13"/>
  <c r="AK13"/>
  <c r="M16" l="1"/>
  <c r="AD14"/>
  <c r="O14" s="1"/>
  <c r="P14" s="1"/>
  <c r="Q14" s="1"/>
  <c r="AR14"/>
  <c r="AK14"/>
  <c r="M17" l="1"/>
  <c r="AK15"/>
  <c r="AR15"/>
  <c r="AD15"/>
  <c r="O15" s="1"/>
  <c r="P15" s="1"/>
  <c r="Q15" s="1"/>
  <c r="M18" l="1"/>
  <c r="AD16"/>
  <c r="O16" s="1"/>
  <c r="P16" s="1"/>
  <c r="Q16" s="1"/>
  <c r="AK16"/>
  <c r="AR16"/>
  <c r="M19" l="1"/>
  <c r="AR17"/>
  <c r="AK17"/>
  <c r="AD17"/>
  <c r="O17" s="1"/>
  <c r="P17" s="1"/>
  <c r="Q17" s="1"/>
  <c r="M20" l="1"/>
  <c r="AK18"/>
  <c r="AD18"/>
  <c r="O18" s="1"/>
  <c r="P18" s="1"/>
  <c r="Q18" s="1"/>
  <c r="AR18"/>
  <c r="M21" l="1"/>
  <c r="AK19"/>
  <c r="AD19"/>
  <c r="O19" s="1"/>
  <c r="P19" s="1"/>
  <c r="Q19" s="1"/>
  <c r="AR19"/>
  <c r="M22" l="1"/>
  <c r="AR20"/>
  <c r="AK20"/>
  <c r="AD20"/>
  <c r="O20" s="1"/>
  <c r="P20" s="1"/>
  <c r="Q20" s="1"/>
  <c r="M23" l="1"/>
  <c r="AR21"/>
  <c r="AD21"/>
  <c r="O21" s="1"/>
  <c r="P21" s="1"/>
  <c r="Q21" s="1"/>
  <c r="AK21"/>
  <c r="M24" l="1"/>
  <c r="AD22"/>
  <c r="O22" s="1"/>
  <c r="P22" s="1"/>
  <c r="Q22" s="1"/>
  <c r="AR22"/>
  <c r="AK22"/>
  <c r="M25" l="1"/>
  <c r="AR23"/>
  <c r="AD23"/>
  <c r="O23" s="1"/>
  <c r="P23" s="1"/>
  <c r="Q23" s="1"/>
  <c r="AK23"/>
  <c r="M26" l="1"/>
  <c r="AD24"/>
  <c r="O24" s="1"/>
  <c r="P24" s="1"/>
  <c r="Q24" s="1"/>
  <c r="AR24"/>
  <c r="AK24"/>
  <c r="M27" l="1"/>
  <c r="AK25"/>
  <c r="AD25"/>
  <c r="O25" s="1"/>
  <c r="P25" s="1"/>
  <c r="Q25" s="1"/>
  <c r="AR25"/>
  <c r="M28" l="1"/>
  <c r="AD26"/>
  <c r="O26" s="1"/>
  <c r="P26" s="1"/>
  <c r="Q26" s="1"/>
  <c r="AK26"/>
  <c r="AR26"/>
  <c r="M29" l="1"/>
  <c r="W28"/>
  <c r="N28" s="1"/>
  <c r="AD27"/>
  <c r="O27" s="1"/>
  <c r="P27" s="1"/>
  <c r="Q27" s="1"/>
  <c r="AK27"/>
  <c r="AR27"/>
  <c r="M30" l="1"/>
  <c r="AK28"/>
  <c r="AR28"/>
  <c r="AD28"/>
  <c r="O28" s="1"/>
  <c r="P28" s="1"/>
  <c r="Q28" s="1"/>
  <c r="M31" l="1"/>
  <c r="AR29"/>
  <c r="AD29"/>
  <c r="O29" s="1"/>
  <c r="P29" s="1"/>
  <c r="Q29" s="1"/>
  <c r="AK29"/>
  <c r="M32" l="1"/>
  <c r="AD30"/>
  <c r="O30" s="1"/>
  <c r="P30" s="1"/>
  <c r="Q30" s="1"/>
  <c r="AK30"/>
  <c r="AR30"/>
  <c r="M33" l="1"/>
  <c r="AD31"/>
  <c r="O31" s="1"/>
  <c r="P31" s="1"/>
  <c r="Q31" s="1"/>
  <c r="AK31"/>
  <c r="AR31"/>
  <c r="M34" l="1"/>
  <c r="AK32"/>
  <c r="AR32"/>
  <c r="AD32"/>
  <c r="O32" s="1"/>
  <c r="P32" s="1"/>
  <c r="Q32" s="1"/>
  <c r="M35" l="1"/>
  <c r="AR33"/>
  <c r="AD33"/>
  <c r="O33" s="1"/>
  <c r="P33" s="1"/>
  <c r="Q33" s="1"/>
  <c r="AK33"/>
  <c r="M36" l="1"/>
  <c r="AD34"/>
  <c r="O34" s="1"/>
  <c r="P34" s="1"/>
  <c r="Q34" s="1"/>
  <c r="AR34"/>
  <c r="AK34"/>
  <c r="M37" l="1"/>
  <c r="AD35"/>
  <c r="O35" s="1"/>
  <c r="P35" s="1"/>
  <c r="Q35" s="1"/>
  <c r="AR35"/>
  <c r="AK35"/>
  <c r="M38" l="1"/>
  <c r="AD36"/>
  <c r="O36" s="1"/>
  <c r="P36" s="1"/>
  <c r="Q36" s="1"/>
  <c r="AR36"/>
  <c r="AK36"/>
  <c r="M39" l="1"/>
  <c r="AD37"/>
  <c r="O37" s="1"/>
  <c r="P37" s="1"/>
  <c r="Q37" s="1"/>
  <c r="AR37"/>
  <c r="AK37"/>
  <c r="M40" l="1"/>
  <c r="AD38"/>
  <c r="O38" s="1"/>
  <c r="P38" s="1"/>
  <c r="Q38" s="1"/>
  <c r="AR38"/>
  <c r="AK38"/>
  <c r="M41" l="1"/>
  <c r="AD39"/>
  <c r="O39" s="1"/>
  <c r="P39" s="1"/>
  <c r="Q39" s="1"/>
  <c r="AR39"/>
  <c r="AK39"/>
  <c r="M42" l="1"/>
  <c r="AD40"/>
  <c r="O40" s="1"/>
  <c r="P40" s="1"/>
  <c r="Q40" s="1"/>
  <c r="AR40"/>
  <c r="AK40"/>
  <c r="M43" l="1"/>
  <c r="AD41"/>
  <c r="O41" s="1"/>
  <c r="P41" s="1"/>
  <c r="Q41" s="1"/>
  <c r="AR41"/>
  <c r="AK41"/>
  <c r="M44" l="1"/>
  <c r="AR42"/>
  <c r="AD42"/>
  <c r="O42" s="1"/>
  <c r="P42" s="1"/>
  <c r="Q42" s="1"/>
  <c r="AK42"/>
  <c r="M45" l="1"/>
  <c r="AR43"/>
  <c r="AD43"/>
  <c r="O43" s="1"/>
  <c r="P43" s="1"/>
  <c r="Q43" s="1"/>
  <c r="AK43"/>
  <c r="M46" l="1"/>
  <c r="AD44"/>
  <c r="O44" s="1"/>
  <c r="P44" s="1"/>
  <c r="Q44" s="1"/>
  <c r="AR44"/>
  <c r="AK44"/>
  <c r="M47" l="1"/>
  <c r="AR45"/>
  <c r="AD45"/>
  <c r="O45" s="1"/>
  <c r="P45" s="1"/>
  <c r="Q45" s="1"/>
  <c r="AK45"/>
  <c r="M48" l="1"/>
  <c r="AR46"/>
  <c r="AD46"/>
  <c r="O46" s="1"/>
  <c r="P46" s="1"/>
  <c r="Q46" s="1"/>
  <c r="AK46"/>
  <c r="M49" l="1"/>
  <c r="AD47"/>
  <c r="O47" s="1"/>
  <c r="P47" s="1"/>
  <c r="Q47" s="1"/>
  <c r="AR47"/>
  <c r="AK47"/>
  <c r="M50" l="1"/>
  <c r="AR48"/>
  <c r="AD48"/>
  <c r="O48" s="1"/>
  <c r="P48" s="1"/>
  <c r="Q48" s="1"/>
  <c r="AK48"/>
  <c r="M51" l="1"/>
  <c r="AR49"/>
  <c r="AD49"/>
  <c r="O49" s="1"/>
  <c r="P49" s="1"/>
  <c r="Q49" s="1"/>
  <c r="AK49"/>
  <c r="M52" l="1"/>
  <c r="AD50"/>
  <c r="O50" s="1"/>
  <c r="P50" s="1"/>
  <c r="Q50" s="1"/>
  <c r="AR50"/>
  <c r="AK50"/>
  <c r="M53" l="1"/>
  <c r="AR51"/>
  <c r="AD51"/>
  <c r="O51" s="1"/>
  <c r="P51" s="1"/>
  <c r="Q51" s="1"/>
  <c r="AK51"/>
  <c r="M54" l="1"/>
  <c r="AR52"/>
  <c r="AD52"/>
  <c r="O52" s="1"/>
  <c r="P52" s="1"/>
  <c r="Q52" s="1"/>
  <c r="AK52"/>
  <c r="M55" l="1"/>
  <c r="AD53"/>
  <c r="O53" s="1"/>
  <c r="P53" s="1"/>
  <c r="Q53" s="1"/>
  <c r="AR53"/>
  <c r="AK53"/>
  <c r="M56" l="1"/>
  <c r="AR54"/>
  <c r="AD54"/>
  <c r="O54" s="1"/>
  <c r="P54" s="1"/>
  <c r="Q54" s="1"/>
  <c r="AK54"/>
  <c r="M57" l="1"/>
  <c r="AR55"/>
  <c r="AD55"/>
  <c r="O55" s="1"/>
  <c r="P55" s="1"/>
  <c r="Q55" s="1"/>
  <c r="AK55"/>
  <c r="M58" l="1"/>
  <c r="AD56"/>
  <c r="O56" s="1"/>
  <c r="P56" s="1"/>
  <c r="Q56" s="1"/>
  <c r="AR56"/>
  <c r="AK56"/>
  <c r="M59" l="1"/>
  <c r="AR57"/>
  <c r="AD57"/>
  <c r="O57" s="1"/>
  <c r="P57" s="1"/>
  <c r="Q57" s="1"/>
  <c r="AK57"/>
  <c r="M60" l="1"/>
  <c r="AR58"/>
  <c r="AD58"/>
  <c r="O58" s="1"/>
  <c r="P58" s="1"/>
  <c r="Q58" s="1"/>
  <c r="AK58"/>
  <c r="M61" l="1"/>
  <c r="AD59"/>
  <c r="O59" s="1"/>
  <c r="P59" s="1"/>
  <c r="Q59" s="1"/>
  <c r="AR59"/>
  <c r="AK59"/>
  <c r="M62" l="1"/>
  <c r="AR60"/>
  <c r="AD60"/>
  <c r="O60" s="1"/>
  <c r="P60" s="1"/>
  <c r="Q60" s="1"/>
  <c r="AK60"/>
  <c r="M63" l="1"/>
  <c r="AR61"/>
  <c r="AD61"/>
  <c r="O61" s="1"/>
  <c r="P61" s="1"/>
  <c r="Q61" s="1"/>
  <c r="AK61"/>
  <c r="M64" l="1"/>
  <c r="AD62"/>
  <c r="O62" s="1"/>
  <c r="P62" s="1"/>
  <c r="Q62" s="1"/>
  <c r="AR62"/>
  <c r="AK62"/>
  <c r="M65" l="1"/>
  <c r="AR63"/>
  <c r="AD63"/>
  <c r="O63" s="1"/>
  <c r="P63" s="1"/>
  <c r="Q63" s="1"/>
  <c r="AK63"/>
  <c r="M66" l="1"/>
  <c r="AR64"/>
  <c r="AD64"/>
  <c r="O64" s="1"/>
  <c r="P64" s="1"/>
  <c r="Q64" s="1"/>
  <c r="AK64"/>
  <c r="M67" l="1"/>
  <c r="AD65"/>
  <c r="O65" s="1"/>
  <c r="P65" s="1"/>
  <c r="Q65" s="1"/>
  <c r="AR65"/>
  <c r="AK65"/>
  <c r="M68" l="1"/>
  <c r="AR66"/>
  <c r="AD66"/>
  <c r="O66" s="1"/>
  <c r="P66" s="1"/>
  <c r="Q66" s="1"/>
  <c r="AK66"/>
  <c r="M69" l="1"/>
  <c r="AR67"/>
  <c r="AD67"/>
  <c r="O67" s="1"/>
  <c r="P67" s="1"/>
  <c r="Q67" s="1"/>
  <c r="AK67"/>
  <c r="M70" l="1"/>
  <c r="AD68"/>
  <c r="O68" s="1"/>
  <c r="P68" s="1"/>
  <c r="Q68" s="1"/>
  <c r="AR68"/>
  <c r="AK68"/>
  <c r="M71" l="1"/>
  <c r="AR69"/>
  <c r="AD69"/>
  <c r="O69" s="1"/>
  <c r="P69" s="1"/>
  <c r="Q69" s="1"/>
  <c r="AK69"/>
  <c r="M72" l="1"/>
  <c r="AD70"/>
  <c r="O70" s="1"/>
  <c r="P70" s="1"/>
  <c r="Q70" s="1"/>
  <c r="AR70"/>
  <c r="AK70"/>
  <c r="M73" l="1"/>
  <c r="AD71"/>
  <c r="O71" s="1"/>
  <c r="P71" s="1"/>
  <c r="Q71" s="1"/>
  <c r="AR71"/>
  <c r="AK71"/>
  <c r="M74" l="1"/>
  <c r="AR72"/>
  <c r="AK72"/>
  <c r="AD72"/>
  <c r="O72" s="1"/>
  <c r="P72" s="1"/>
  <c r="Q72" s="1"/>
  <c r="M75" l="1"/>
  <c r="AD73"/>
  <c r="O73" s="1"/>
  <c r="P73" s="1"/>
  <c r="Q73" s="1"/>
  <c r="AK73"/>
  <c r="AR73"/>
  <c r="M76" l="1"/>
  <c r="AD74"/>
  <c r="O74" s="1"/>
  <c r="P74" s="1"/>
  <c r="Q74" s="1"/>
  <c r="AR74"/>
  <c r="AK74"/>
  <c r="M77" l="1"/>
  <c r="AR75"/>
  <c r="AK75"/>
  <c r="AD75"/>
  <c r="O75" s="1"/>
  <c r="P75" s="1"/>
  <c r="Q75" s="1"/>
  <c r="M78" l="1"/>
  <c r="AD76"/>
  <c r="O76" s="1"/>
  <c r="P76" s="1"/>
  <c r="Q76" s="1"/>
  <c r="AK76"/>
  <c r="AR76"/>
  <c r="M79" l="1"/>
  <c r="AR77"/>
  <c r="AD77"/>
  <c r="O77" s="1"/>
  <c r="P77" s="1"/>
  <c r="Q77" s="1"/>
  <c r="AK77"/>
  <c r="M80" l="1"/>
  <c r="AD78"/>
  <c r="O78" s="1"/>
  <c r="P78" s="1"/>
  <c r="Q78" s="1"/>
  <c r="AR78"/>
  <c r="AK78"/>
  <c r="M81" l="1"/>
  <c r="AR79"/>
  <c r="AD79"/>
  <c r="O79" s="1"/>
  <c r="P79" s="1"/>
  <c r="Q79" s="1"/>
  <c r="AK79"/>
  <c r="M82" l="1"/>
  <c r="AR80"/>
  <c r="AD80"/>
  <c r="O80" s="1"/>
  <c r="P80" s="1"/>
  <c r="Q80" s="1"/>
  <c r="AK80"/>
  <c r="M83" l="1"/>
  <c r="AD81"/>
  <c r="O81" s="1"/>
  <c r="P81" s="1"/>
  <c r="Q81" s="1"/>
  <c r="AR81"/>
  <c r="AK81"/>
  <c r="M84" l="1"/>
  <c r="AR82"/>
  <c r="AD82"/>
  <c r="O82" s="1"/>
  <c r="P82" s="1"/>
  <c r="Q82" s="1"/>
  <c r="AK82"/>
  <c r="M85" l="1"/>
  <c r="AR83"/>
  <c r="AD83"/>
  <c r="O83" s="1"/>
  <c r="P83" s="1"/>
  <c r="Q83" s="1"/>
  <c r="AK83"/>
  <c r="M86" l="1"/>
  <c r="AD84"/>
  <c r="O84" s="1"/>
  <c r="P84" s="1"/>
  <c r="Q84" s="1"/>
  <c r="AR84"/>
  <c r="AK84"/>
  <c r="M87" l="1"/>
  <c r="AR85"/>
  <c r="AD85"/>
  <c r="O85" s="1"/>
  <c r="P85" s="1"/>
  <c r="Q85" s="1"/>
  <c r="AK85"/>
  <c r="M88" l="1"/>
  <c r="AR86"/>
  <c r="AK86"/>
  <c r="AD86"/>
  <c r="O86" s="1"/>
  <c r="P86" s="1"/>
  <c r="Q86" s="1"/>
  <c r="M89" l="1"/>
  <c r="AR87"/>
  <c r="AK87"/>
  <c r="AD87"/>
  <c r="O87" s="1"/>
  <c r="P87" s="1"/>
  <c r="Q87" s="1"/>
  <c r="M90" l="1"/>
  <c r="AK88"/>
  <c r="AR88"/>
  <c r="AD88"/>
  <c r="O88" s="1"/>
  <c r="P88" s="1"/>
  <c r="Q88" s="1"/>
  <c r="M91" l="1"/>
  <c r="AR89"/>
  <c r="AK89"/>
  <c r="AD89"/>
  <c r="O89" s="1"/>
  <c r="P89" s="1"/>
  <c r="Q89" s="1"/>
  <c r="M92" l="1"/>
  <c r="AR90"/>
  <c r="AK90"/>
  <c r="AD90"/>
  <c r="O90" s="1"/>
  <c r="P90" s="1"/>
  <c r="Q90" s="1"/>
  <c r="M93" l="1"/>
  <c r="AK91"/>
  <c r="AR91"/>
  <c r="AD91"/>
  <c r="O91" s="1"/>
  <c r="P91" s="1"/>
  <c r="Q91" s="1"/>
  <c r="M94" l="1"/>
  <c r="AR92"/>
  <c r="AK92"/>
  <c r="AD92"/>
  <c r="O92" s="1"/>
  <c r="P92" s="1"/>
  <c r="Q92" s="1"/>
  <c r="M95" l="1"/>
  <c r="AR93"/>
  <c r="AK93"/>
  <c r="AD93"/>
  <c r="O93" s="1"/>
  <c r="P93" s="1"/>
  <c r="Q93" s="1"/>
  <c r="M96" l="1"/>
  <c r="AK94"/>
  <c r="AR94"/>
  <c r="AD94"/>
  <c r="O94" s="1"/>
  <c r="P94" s="1"/>
  <c r="Q94" s="1"/>
  <c r="M97" l="1"/>
  <c r="AR95"/>
  <c r="AK95"/>
  <c r="AD95"/>
  <c r="O95" s="1"/>
  <c r="P95" s="1"/>
  <c r="Q95" s="1"/>
  <c r="M98" l="1"/>
  <c r="AR96"/>
  <c r="AK96"/>
  <c r="AD96"/>
  <c r="O96" s="1"/>
  <c r="P96" s="1"/>
  <c r="Q96" s="1"/>
  <c r="M99" l="1"/>
  <c r="AK97"/>
  <c r="AR97"/>
  <c r="AD97"/>
  <c r="O97" s="1"/>
  <c r="P97" s="1"/>
  <c r="Q97" s="1"/>
  <c r="M100" l="1"/>
  <c r="AR98"/>
  <c r="AK98"/>
  <c r="AD98"/>
  <c r="O98" s="1"/>
  <c r="P98" s="1"/>
  <c r="Q98" s="1"/>
  <c r="M101" l="1"/>
  <c r="AR99"/>
  <c r="AK99"/>
  <c r="AD99"/>
  <c r="O99" s="1"/>
  <c r="P99" s="1"/>
  <c r="Q99" s="1"/>
  <c r="M102" l="1"/>
  <c r="AK100"/>
  <c r="AR100"/>
  <c r="AD100"/>
  <c r="O100" s="1"/>
  <c r="P100" s="1"/>
  <c r="Q100" s="1"/>
  <c r="M103" l="1"/>
  <c r="AR101"/>
  <c r="AK101"/>
  <c r="AD101"/>
  <c r="O101" s="1"/>
  <c r="P101" s="1"/>
  <c r="Q101" s="1"/>
  <c r="M104" l="1"/>
  <c r="AR102"/>
  <c r="AK102"/>
  <c r="AD102"/>
  <c r="O102" s="1"/>
  <c r="P102" s="1"/>
  <c r="Q102" s="1"/>
  <c r="M105" l="1"/>
  <c r="AK103"/>
  <c r="AR103"/>
  <c r="AD103"/>
  <c r="O103" s="1"/>
  <c r="P103" s="1"/>
  <c r="Q103" s="1"/>
  <c r="M106" l="1"/>
  <c r="AR104"/>
  <c r="AK104"/>
  <c r="AD104"/>
  <c r="O104" s="1"/>
  <c r="P104" s="1"/>
  <c r="Q104" s="1"/>
  <c r="M107" l="1"/>
  <c r="AR105"/>
  <c r="AK105"/>
  <c r="AD105"/>
  <c r="O105" s="1"/>
  <c r="P105" s="1"/>
  <c r="Q105" s="1"/>
  <c r="M108" l="1"/>
  <c r="AK106"/>
  <c r="AR106"/>
  <c r="AD106"/>
  <c r="O106" s="1"/>
  <c r="P106" s="1"/>
  <c r="Q106" s="1"/>
  <c r="M109" l="1"/>
  <c r="AR107"/>
  <c r="AD107"/>
  <c r="O107" s="1"/>
  <c r="P107" s="1"/>
  <c r="Q107" s="1"/>
  <c r="AK107"/>
  <c r="M110" l="1"/>
  <c r="AD108"/>
  <c r="O108" s="1"/>
  <c r="P108" s="1"/>
  <c r="Q108" s="1"/>
  <c r="AR108"/>
  <c r="AK108"/>
  <c r="M111" l="1"/>
  <c r="AD109"/>
  <c r="O109" s="1"/>
  <c r="P109" s="1"/>
  <c r="Q109" s="1"/>
  <c r="AR109"/>
  <c r="AK109"/>
  <c r="M112" l="1"/>
  <c r="AR110"/>
  <c r="AD110"/>
  <c r="O110" s="1"/>
  <c r="P110" s="1"/>
  <c r="Q110" s="1"/>
  <c r="AK110"/>
  <c r="M113" l="1"/>
  <c r="AD111"/>
  <c r="O111" s="1"/>
  <c r="P111" s="1"/>
  <c r="Q111" s="1"/>
  <c r="AR111"/>
  <c r="AK111"/>
  <c r="M114" l="1"/>
  <c r="AD112"/>
  <c r="O112" s="1"/>
  <c r="P112" s="1"/>
  <c r="Q112" s="1"/>
  <c r="AR112"/>
  <c r="AK112"/>
  <c r="M115" l="1"/>
  <c r="AR113"/>
  <c r="AD113"/>
  <c r="O113" s="1"/>
  <c r="P113" s="1"/>
  <c r="Q113" s="1"/>
  <c r="AK113"/>
  <c r="M116" l="1"/>
  <c r="AD114"/>
  <c r="O114" s="1"/>
  <c r="P114" s="1"/>
  <c r="Q114" s="1"/>
  <c r="AR114"/>
  <c r="AK114"/>
  <c r="M117" l="1"/>
  <c r="AD115"/>
  <c r="O115" s="1"/>
  <c r="P115" s="1"/>
  <c r="Q115" s="1"/>
  <c r="AR115"/>
  <c r="AK115"/>
  <c r="AR116" l="1"/>
  <c r="AD116"/>
  <c r="O116" s="1"/>
  <c r="P116" s="1"/>
  <c r="Q116" s="1"/>
  <c r="AK116"/>
  <c r="AD117" l="1"/>
  <c r="O117" s="1"/>
  <c r="P117" s="1"/>
  <c r="Q117" s="1"/>
  <c r="AR117"/>
  <c r="AK117"/>
  <c r="W6" l="1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Q254" l="1"/>
</calcChain>
</file>

<file path=xl/sharedStrings.xml><?xml version="1.0" encoding="utf-8"?>
<sst xmlns="http://schemas.openxmlformats.org/spreadsheetml/2006/main" count="281" uniqueCount="100">
  <si>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</si>
  <si>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</si>
  <si>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</si>
  <si>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</si>
  <si>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</si>
  <si>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</si>
  <si>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</si>
  <si>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</si>
  <si>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</si>
  <si>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</si>
  <si>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</si>
  <si>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</si>
  <si>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</si>
  <si>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</si>
  <si>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</si>
  <si>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</si>
  <si>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</si>
  <si>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</si>
  <si>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</si>
  <si>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</si>
  <si>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</si>
  <si>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</si>
  <si>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</si>
  <si>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</si>
  <si>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</si>
  <si>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</si>
  <si>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</si>
  <si>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</si>
  <si>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</si>
  <si>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</si>
  <si>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</si>
  <si>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</si>
  <si>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</si>
  <si>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</si>
  <si>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</si>
  <si>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</si>
  <si>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</si>
  <si>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</si>
  <si>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</si>
  <si>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</si>
  <si>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</si>
  <si>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</si>
  <si>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</si>
  <si>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</si>
  <si>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</si>
  <si>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</si>
  <si>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</si>
  <si>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</si>
  <si>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</si>
  <si>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</si>
  <si>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</si>
  <si>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</si>
  <si>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</si>
  <si>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</si>
  <si>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</si>
  <si>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</si>
  <si>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</si>
  <si>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</si>
  <si>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</si>
  <si>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</si>
  <si>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</si>
  <si>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</si>
  <si>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</si>
  <si>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</si>
  <si>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</si>
  <si>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</si>
  <si>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</si>
  <si>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</si>
  <si>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</si>
  <si>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</si>
  <si>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</si>
  <si>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</si>
  <si>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</si>
  <si>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</si>
  <si>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</si>
  <si>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Reservoirs</t>
  </si>
  <si>
    <t>Total Steel Mass (kg):</t>
  </si>
  <si>
    <t>Break Pressure</t>
  </si>
  <si>
    <t>m - Elevation</t>
  </si>
  <si>
    <t>m -Diameter</t>
  </si>
  <si>
    <t>m - Pumping Head</t>
  </si>
  <si>
    <t>BPT 3</t>
  </si>
  <si>
    <t>8-22</t>
  </si>
  <si>
    <t>m -Elevation</t>
  </si>
  <si>
    <t>BPT 5</t>
  </si>
  <si>
    <t>PS 3</t>
  </si>
  <si>
    <t>164-226</t>
  </si>
  <si>
    <t>226-228</t>
  </si>
  <si>
    <t>228-274</t>
  </si>
  <si>
    <t>274-330</t>
  </si>
  <si>
    <t>22-164</t>
  </si>
  <si>
    <t>BPT 2</t>
  </si>
  <si>
    <t xml:space="preserve">Break Pressure </t>
  </si>
  <si>
    <t>330-482</t>
  </si>
  <si>
    <t>482-500</t>
  </si>
  <si>
    <t>B</t>
  </si>
  <si>
    <t>Greater Dynamic Pressures</t>
  </si>
  <si>
    <t>Option 5B</t>
  </si>
  <si>
    <t>5B</t>
  </si>
  <si>
    <t>Option 5B Summary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</si>
</sst>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83213696"/>
        <c:axId val="90256896"/>
      </c:scatterChart>
      <c:valAx>
        <c:axId val="83213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256896"/>
        <c:crosses val="autoZero"/>
        <c:crossBetween val="midCat"/>
      </c:valAx>
      <c:valAx>
        <c:axId val="902568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2136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79" l="0.70866141732283772" r="0.70866141732283772" t="0.74803149606299479" header="0.31496062992126239" footer="0.3149606299212623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26: Option 5B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Hydraulics!$G$4:$G$253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Hydraulics!$X$4:$X$253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1077.9898996015952</c:v>
                </c:pt>
                <c:pt idx="2">
                  <c:v>1076.9617992031904</c:v>
                </c:pt>
                <c:pt idx="3">
                  <c:v>1125.9336988047855</c:v>
                </c:pt>
                <c:pt idx="4">
                  <c:v>1124.9055984063807</c:v>
                </c:pt>
                <c:pt idx="5">
                  <c:v>1123.8774980079759</c:v>
                </c:pt>
                <c:pt idx="6">
                  <c:v>1122.849397609571</c:v>
                </c:pt>
                <c:pt idx="7">
                  <c:v>1121.8212972111662</c:v>
                </c:pt>
                <c:pt idx="8">
                  <c:v>1120.7931968127614</c:v>
                </c:pt>
                <c:pt idx="9">
                  <c:v>1119.7650964143565</c:v>
                </c:pt>
                <c:pt idx="10">
                  <c:v>1111.67</c:v>
                </c:pt>
                <c:pt idx="11">
                  <c:v>1110.6418996015952</c:v>
                </c:pt>
                <c:pt idx="12">
                  <c:v>1109.6137992031904</c:v>
                </c:pt>
                <c:pt idx="13">
                  <c:v>1108.5856988047856</c:v>
                </c:pt>
                <c:pt idx="14">
                  <c:v>1107.5575984063807</c:v>
                </c:pt>
                <c:pt idx="15">
                  <c:v>1106.5294980079759</c:v>
                </c:pt>
                <c:pt idx="16">
                  <c:v>1105.5013976095711</c:v>
                </c:pt>
                <c:pt idx="17">
                  <c:v>1104.4732972111663</c:v>
                </c:pt>
                <c:pt idx="18">
                  <c:v>1103.4451968127614</c:v>
                </c:pt>
                <c:pt idx="19">
                  <c:v>1102.4170964143566</c:v>
                </c:pt>
                <c:pt idx="20">
                  <c:v>1101.3889960159518</c:v>
                </c:pt>
                <c:pt idx="21">
                  <c:v>1100.3608956175469</c:v>
                </c:pt>
                <c:pt idx="22">
                  <c:v>1099.3327952191421</c:v>
                </c:pt>
                <c:pt idx="23">
                  <c:v>1098.3046948207373</c:v>
                </c:pt>
                <c:pt idx="24">
                  <c:v>1097.2765944223324</c:v>
                </c:pt>
                <c:pt idx="25">
                  <c:v>1096.2484940239276</c:v>
                </c:pt>
                <c:pt idx="26">
                  <c:v>1095.2203936255228</c:v>
                </c:pt>
                <c:pt idx="27">
                  <c:v>1094.1922932271179</c:v>
                </c:pt>
                <c:pt idx="28">
                  <c:v>1093.1641928287131</c:v>
                </c:pt>
                <c:pt idx="29">
                  <c:v>1092.1360924303083</c:v>
                </c:pt>
                <c:pt idx="30">
                  <c:v>1091.1079920319034</c:v>
                </c:pt>
                <c:pt idx="31">
                  <c:v>1090.0798916334986</c:v>
                </c:pt>
                <c:pt idx="32">
                  <c:v>1089.0517912350938</c:v>
                </c:pt>
                <c:pt idx="33">
                  <c:v>1088.023690836689</c:v>
                </c:pt>
                <c:pt idx="34">
                  <c:v>1086.9955904382841</c:v>
                </c:pt>
                <c:pt idx="35">
                  <c:v>1085.9674900398793</c:v>
                </c:pt>
                <c:pt idx="36">
                  <c:v>1084.9393896414745</c:v>
                </c:pt>
                <c:pt idx="37">
                  <c:v>1083.9112892430696</c:v>
                </c:pt>
                <c:pt idx="38">
                  <c:v>1082.8831888446648</c:v>
                </c:pt>
                <c:pt idx="39">
                  <c:v>1081.85508844626</c:v>
                </c:pt>
                <c:pt idx="40">
                  <c:v>1080.8269880478551</c:v>
                </c:pt>
                <c:pt idx="41">
                  <c:v>1079.7988876494503</c:v>
                </c:pt>
                <c:pt idx="42">
                  <c:v>1078.7707872510455</c:v>
                </c:pt>
                <c:pt idx="43">
                  <c:v>1077.7426868526406</c:v>
                </c:pt>
                <c:pt idx="44">
                  <c:v>1076.7145864542358</c:v>
                </c:pt>
                <c:pt idx="45">
                  <c:v>1075.686486055831</c:v>
                </c:pt>
                <c:pt idx="46">
                  <c:v>1074.6583856574262</c:v>
                </c:pt>
                <c:pt idx="47">
                  <c:v>1073.6302852590213</c:v>
                </c:pt>
                <c:pt idx="48">
                  <c:v>1072.6021848606165</c:v>
                </c:pt>
                <c:pt idx="49">
                  <c:v>1071.5740844622117</c:v>
                </c:pt>
                <c:pt idx="50">
                  <c:v>1070.5459840638068</c:v>
                </c:pt>
                <c:pt idx="51">
                  <c:v>1069.517883665402</c:v>
                </c:pt>
                <c:pt idx="52">
                  <c:v>1068.4897832669972</c:v>
                </c:pt>
                <c:pt idx="53">
                  <c:v>1067.4616828685923</c:v>
                </c:pt>
                <c:pt idx="54">
                  <c:v>1066.4335824701875</c:v>
                </c:pt>
                <c:pt idx="55">
                  <c:v>1065.4054820717827</c:v>
                </c:pt>
                <c:pt idx="56">
                  <c:v>1064.3773816733778</c:v>
                </c:pt>
                <c:pt idx="57">
                  <c:v>1063.349281274973</c:v>
                </c:pt>
                <c:pt idx="58">
                  <c:v>1062.3211808765682</c:v>
                </c:pt>
                <c:pt idx="59">
                  <c:v>1061.2930804781633</c:v>
                </c:pt>
                <c:pt idx="60">
                  <c:v>1060.2649800797585</c:v>
                </c:pt>
                <c:pt idx="61">
                  <c:v>1059.2368796813537</c:v>
                </c:pt>
                <c:pt idx="62">
                  <c:v>1058.2087792829489</c:v>
                </c:pt>
                <c:pt idx="63">
                  <c:v>1057.180678884544</c:v>
                </c:pt>
                <c:pt idx="64">
                  <c:v>1056.1525784861392</c:v>
                </c:pt>
                <c:pt idx="65">
                  <c:v>1055.1244780877344</c:v>
                </c:pt>
                <c:pt idx="66">
                  <c:v>1054.0963776893295</c:v>
                </c:pt>
                <c:pt idx="67">
                  <c:v>1053.0682772909247</c:v>
                </c:pt>
                <c:pt idx="68">
                  <c:v>1052.0401768925199</c:v>
                </c:pt>
                <c:pt idx="69">
                  <c:v>1051.012076494115</c:v>
                </c:pt>
                <c:pt idx="70">
                  <c:v>1049.9839760957102</c:v>
                </c:pt>
                <c:pt idx="71">
                  <c:v>1048.9558756973054</c:v>
                </c:pt>
                <c:pt idx="72">
                  <c:v>1047.9277752989005</c:v>
                </c:pt>
                <c:pt idx="73">
                  <c:v>1046.8996749004957</c:v>
                </c:pt>
                <c:pt idx="74">
                  <c:v>1045.8715745020909</c:v>
                </c:pt>
                <c:pt idx="75">
                  <c:v>1044.843474103686</c:v>
                </c:pt>
                <c:pt idx="76">
                  <c:v>1043.8153737052812</c:v>
                </c:pt>
                <c:pt idx="77">
                  <c:v>1042.7872733068764</c:v>
                </c:pt>
                <c:pt idx="78">
                  <c:v>1041.7591729084716</c:v>
                </c:pt>
                <c:pt idx="79">
                  <c:v>1040.7310725100667</c:v>
                </c:pt>
                <c:pt idx="80">
                  <c:v>1039.7029721116619</c:v>
                </c:pt>
                <c:pt idx="81">
                  <c:v>1038.3489901581181</c:v>
                </c:pt>
                <c:pt idx="82">
                  <c:v>1036.9950082045743</c:v>
                </c:pt>
                <c:pt idx="83">
                  <c:v>1035.6410262510306</c:v>
                </c:pt>
                <c:pt idx="84">
                  <c:v>1034.2870442974868</c:v>
                </c:pt>
                <c:pt idx="85">
                  <c:v>1032.933062343943</c:v>
                </c:pt>
                <c:pt idx="86">
                  <c:v>1031.5790803903992</c:v>
                </c:pt>
                <c:pt idx="87">
                  <c:v>1030.2250984368554</c:v>
                </c:pt>
                <c:pt idx="88">
                  <c:v>1028.8711164833117</c:v>
                </c:pt>
                <c:pt idx="89">
                  <c:v>1027.5171345297679</c:v>
                </c:pt>
                <c:pt idx="90">
                  <c:v>1026.1631525762241</c:v>
                </c:pt>
                <c:pt idx="91">
                  <c:v>1024.8091706226803</c:v>
                </c:pt>
                <c:pt idx="92">
                  <c:v>1023.4551886691365</c:v>
                </c:pt>
                <c:pt idx="93">
                  <c:v>1022.1012067155928</c:v>
                </c:pt>
                <c:pt idx="94">
                  <c:v>1020.747224762049</c:v>
                </c:pt>
                <c:pt idx="95">
                  <c:v>1019.3932428085052</c:v>
                </c:pt>
                <c:pt idx="96">
                  <c:v>1018.0392608549614</c:v>
                </c:pt>
                <c:pt idx="97">
                  <c:v>1016.6852789014176</c:v>
                </c:pt>
                <c:pt idx="98">
                  <c:v>1015.3312969478739</c:v>
                </c:pt>
                <c:pt idx="99">
                  <c:v>1013.9773149943301</c:v>
                </c:pt>
                <c:pt idx="100">
                  <c:v>1012.6233330407863</c:v>
                </c:pt>
                <c:pt idx="101">
                  <c:v>1011.2693510872425</c:v>
                </c:pt>
                <c:pt idx="102">
                  <c:v>1009.9153691336987</c:v>
                </c:pt>
                <c:pt idx="103">
                  <c:v>1008.561387180155</c:v>
                </c:pt>
                <c:pt idx="104">
                  <c:v>1007.2074052266112</c:v>
                </c:pt>
                <c:pt idx="105">
                  <c:v>1005.8534232730674</c:v>
                </c:pt>
                <c:pt idx="106">
                  <c:v>1004.4994413195236</c:v>
                </c:pt>
                <c:pt idx="107">
                  <c:v>1003.1454593659798</c:v>
                </c:pt>
                <c:pt idx="108">
                  <c:v>1001.7914774124361</c:v>
                </c:pt>
                <c:pt idx="109">
                  <c:v>1000.4374954588923</c:v>
                </c:pt>
                <c:pt idx="110">
                  <c:v>999.08351350534849</c:v>
                </c:pt>
                <c:pt idx="111">
                  <c:v>997.72953155180471</c:v>
                </c:pt>
                <c:pt idx="112">
                  <c:v>996.93757905307757</c:v>
                </c:pt>
                <c:pt idx="113">
                  <c:v>1043.4839999999999</c:v>
                </c:pt>
                <c:pt idx="114">
                  <c:v>1182.9960291028685</c:v>
                </c:pt>
                <c:pt idx="115">
                  <c:v>1182.5080582057371</c:v>
                </c:pt>
                <c:pt idx="116">
                  <c:v>1182.0200873086058</c:v>
                </c:pt>
                <c:pt idx="117">
                  <c:v>1181.5321164114744</c:v>
                </c:pt>
                <c:pt idx="118">
                  <c:v>1181.044145514343</c:v>
                </c:pt>
                <c:pt idx="119">
                  <c:v>1180.5561746172116</c:v>
                </c:pt>
                <c:pt idx="120">
                  <c:v>1180.0682037200802</c:v>
                </c:pt>
                <c:pt idx="121">
                  <c:v>1179.5802328229488</c:v>
                </c:pt>
                <c:pt idx="122">
                  <c:v>1179.0922619258174</c:v>
                </c:pt>
                <c:pt idx="123">
                  <c:v>1178.604291028686</c:v>
                </c:pt>
                <c:pt idx="124">
                  <c:v>1178.1163201315546</c:v>
                </c:pt>
                <c:pt idx="125">
                  <c:v>1177.6283492344232</c:v>
                </c:pt>
                <c:pt idx="126">
                  <c:v>1177.1403783372918</c:v>
                </c:pt>
                <c:pt idx="127">
                  <c:v>1176.6524074401605</c:v>
                </c:pt>
                <c:pt idx="128">
                  <c:v>1176.1644365430291</c:v>
                </c:pt>
                <c:pt idx="129">
                  <c:v>1175.6764656458977</c:v>
                </c:pt>
                <c:pt idx="130">
                  <c:v>1175.1884947487663</c:v>
                </c:pt>
                <c:pt idx="131">
                  <c:v>1174.7005238516349</c:v>
                </c:pt>
                <c:pt idx="132">
                  <c:v>1174.2125529545035</c:v>
                </c:pt>
                <c:pt idx="133">
                  <c:v>1173.7245820573721</c:v>
                </c:pt>
                <c:pt idx="134">
                  <c:v>1173.2366111602407</c:v>
                </c:pt>
                <c:pt idx="135">
                  <c:v>1172.7486402631093</c:v>
                </c:pt>
                <c:pt idx="136">
                  <c:v>1172.2606693659779</c:v>
                </c:pt>
                <c:pt idx="137">
                  <c:v>1171.7726984688466</c:v>
                </c:pt>
                <c:pt idx="138">
                  <c:v>1171.2847275717152</c:v>
                </c:pt>
                <c:pt idx="139">
                  <c:v>1170.7967566745838</c:v>
                </c:pt>
                <c:pt idx="140">
                  <c:v>1170.3087857774524</c:v>
                </c:pt>
                <c:pt idx="141">
                  <c:v>1169.820814880321</c:v>
                </c:pt>
                <c:pt idx="142">
                  <c:v>1169.3328439831896</c:v>
                </c:pt>
                <c:pt idx="143">
                  <c:v>1168.8448730860582</c:v>
                </c:pt>
                <c:pt idx="144">
                  <c:v>1168.3569021889268</c:v>
                </c:pt>
                <c:pt idx="145">
                  <c:v>1167.8689312917954</c:v>
                </c:pt>
                <c:pt idx="146">
                  <c:v>1167.380960394664</c:v>
                </c:pt>
                <c:pt idx="147">
                  <c:v>1166.8929894975327</c:v>
                </c:pt>
                <c:pt idx="148">
                  <c:v>1166.4050186004013</c:v>
                </c:pt>
                <c:pt idx="149">
                  <c:v>1165.9170477032699</c:v>
                </c:pt>
                <c:pt idx="150">
                  <c:v>1165.4290768061385</c:v>
                </c:pt>
                <c:pt idx="151">
                  <c:v>1164.9411059090071</c:v>
                </c:pt>
                <c:pt idx="152">
                  <c:v>1164.4531350118757</c:v>
                </c:pt>
                <c:pt idx="153">
                  <c:v>1163.9651641147443</c:v>
                </c:pt>
                <c:pt idx="154">
                  <c:v>1163.4771932176129</c:v>
                </c:pt>
                <c:pt idx="155">
                  <c:v>1162.9892223204815</c:v>
                </c:pt>
                <c:pt idx="156">
                  <c:v>1162.5012514233501</c:v>
                </c:pt>
                <c:pt idx="157">
                  <c:v>1162.0132805262188</c:v>
                </c:pt>
                <c:pt idx="158">
                  <c:v>1161.5253096290874</c:v>
                </c:pt>
                <c:pt idx="159">
                  <c:v>1161.037338731956</c:v>
                </c:pt>
                <c:pt idx="160">
                  <c:v>1160.5493678348246</c:v>
                </c:pt>
                <c:pt idx="161">
                  <c:v>1160.0613969376932</c:v>
                </c:pt>
                <c:pt idx="162">
                  <c:v>1159.5734260405618</c:v>
                </c:pt>
                <c:pt idx="163">
                  <c:v>1159.0854551434304</c:v>
                </c:pt>
                <c:pt idx="164">
                  <c:v>1158.597484246299</c:v>
                </c:pt>
                <c:pt idx="165">
                  <c:v>1158.1095133491676</c:v>
                </c:pt>
                <c:pt idx="166">
                  <c:v>1157.6215424520362</c:v>
                </c:pt>
                <c:pt idx="167">
                  <c:v>1156.2675604984925</c:v>
                </c:pt>
                <c:pt idx="168">
                  <c:v>1154.9135785449487</c:v>
                </c:pt>
                <c:pt idx="169">
                  <c:v>1153.5595965914049</c:v>
                </c:pt>
                <c:pt idx="170">
                  <c:v>1152.2056146378611</c:v>
                </c:pt>
                <c:pt idx="171">
                  <c:v>1150.8516326843173</c:v>
                </c:pt>
                <c:pt idx="172">
                  <c:v>1149.4976507307736</c:v>
                </c:pt>
                <c:pt idx="173">
                  <c:v>1148.1436687772298</c:v>
                </c:pt>
                <c:pt idx="174">
                  <c:v>1146.789686823686</c:v>
                </c:pt>
                <c:pt idx="175">
                  <c:v>1145.4357048701422</c:v>
                </c:pt>
                <c:pt idx="176">
                  <c:v>1144.0817229165984</c:v>
                </c:pt>
                <c:pt idx="177">
                  <c:v>1142.7277409630547</c:v>
                </c:pt>
                <c:pt idx="178">
                  <c:v>1141.3737590095109</c:v>
                </c:pt>
                <c:pt idx="179">
                  <c:v>1140.0197770559671</c:v>
                </c:pt>
                <c:pt idx="180">
                  <c:v>1138.6657951024233</c:v>
                </c:pt>
                <c:pt idx="181">
                  <c:v>1137.3118131488795</c:v>
                </c:pt>
                <c:pt idx="182">
                  <c:v>1135.9578311953358</c:v>
                </c:pt>
                <c:pt idx="183">
                  <c:v>1134.603849241792</c:v>
                </c:pt>
                <c:pt idx="184">
                  <c:v>1133.2498672882482</c:v>
                </c:pt>
                <c:pt idx="185">
                  <c:v>1131.8958853347044</c:v>
                </c:pt>
                <c:pt idx="186">
                  <c:v>1130.5419033811606</c:v>
                </c:pt>
                <c:pt idx="187">
                  <c:v>1129.1879214276169</c:v>
                </c:pt>
                <c:pt idx="188">
                  <c:v>1127.8339394740731</c:v>
                </c:pt>
                <c:pt idx="189">
                  <c:v>1126.4799575205293</c:v>
                </c:pt>
                <c:pt idx="190">
                  <c:v>1125.1259755669855</c:v>
                </c:pt>
                <c:pt idx="191">
                  <c:v>1123.7719936134417</c:v>
                </c:pt>
                <c:pt idx="192">
                  <c:v>1122.418011659898</c:v>
                </c:pt>
                <c:pt idx="193">
                  <c:v>1121.0640297063542</c:v>
                </c:pt>
                <c:pt idx="194">
                  <c:v>1119.7100477528104</c:v>
                </c:pt>
                <c:pt idx="195">
                  <c:v>1118.3560657992666</c:v>
                </c:pt>
                <c:pt idx="196">
                  <c:v>1117.0020838457228</c:v>
                </c:pt>
                <c:pt idx="197">
                  <c:v>1115.6481018921791</c:v>
                </c:pt>
                <c:pt idx="198">
                  <c:v>1114.2941199386353</c:v>
                </c:pt>
                <c:pt idx="199">
                  <c:v>1112.9401379850915</c:v>
                </c:pt>
                <c:pt idx="200">
                  <c:v>1111.5861560315477</c:v>
                </c:pt>
                <c:pt idx="201">
                  <c:v>1110.2321740780039</c:v>
                </c:pt>
                <c:pt idx="202">
                  <c:v>1108.8781921244602</c:v>
                </c:pt>
                <c:pt idx="203">
                  <c:v>1107.5242101709164</c:v>
                </c:pt>
                <c:pt idx="204">
                  <c:v>1106.1702282173726</c:v>
                </c:pt>
                <c:pt idx="205">
                  <c:v>1104.8162462638288</c:v>
                </c:pt>
                <c:pt idx="206">
                  <c:v>1103.462264310285</c:v>
                </c:pt>
                <c:pt idx="207">
                  <c:v>1102.1082823567413</c:v>
                </c:pt>
                <c:pt idx="208">
                  <c:v>1100.7543004031975</c:v>
                </c:pt>
                <c:pt idx="209">
                  <c:v>1099.4003184496537</c:v>
                </c:pt>
                <c:pt idx="210">
                  <c:v>1098.0463364961099</c:v>
                </c:pt>
                <c:pt idx="211">
                  <c:v>1096.6923545425661</c:v>
                </c:pt>
                <c:pt idx="212">
                  <c:v>1095.3383725890224</c:v>
                </c:pt>
                <c:pt idx="213">
                  <c:v>1093.9843906354786</c:v>
                </c:pt>
                <c:pt idx="214">
                  <c:v>1092.6304086819348</c:v>
                </c:pt>
                <c:pt idx="215">
                  <c:v>1091.276426728391</c:v>
                </c:pt>
                <c:pt idx="216">
                  <c:v>1089.9224447748472</c:v>
                </c:pt>
                <c:pt idx="217">
                  <c:v>1088.5684628213035</c:v>
                </c:pt>
                <c:pt idx="218">
                  <c:v>1087.2144808677597</c:v>
                </c:pt>
                <c:pt idx="219">
                  <c:v>1085.8604989142159</c:v>
                </c:pt>
                <c:pt idx="220">
                  <c:v>1084.5065169606721</c:v>
                </c:pt>
                <c:pt idx="221">
                  <c:v>1083.1525350071283</c:v>
                </c:pt>
                <c:pt idx="222">
                  <c:v>1081.7985530535846</c:v>
                </c:pt>
                <c:pt idx="223">
                  <c:v>1080.4445711000408</c:v>
                </c:pt>
                <c:pt idx="224">
                  <c:v>1079.090589146497</c:v>
                </c:pt>
                <c:pt idx="225">
                  <c:v>1077.7366071929532</c:v>
                </c:pt>
                <c:pt idx="226">
                  <c:v>1076.3826252394094</c:v>
                </c:pt>
                <c:pt idx="227">
                  <c:v>1075.0286432858657</c:v>
                </c:pt>
                <c:pt idx="228">
                  <c:v>1073.6746613323219</c:v>
                </c:pt>
                <c:pt idx="229">
                  <c:v>1072.3206793787781</c:v>
                </c:pt>
                <c:pt idx="230">
                  <c:v>1070.9666974252343</c:v>
                </c:pt>
                <c:pt idx="231">
                  <c:v>1069.6127154716905</c:v>
                </c:pt>
                <c:pt idx="232">
                  <c:v>1068.2587335181468</c:v>
                </c:pt>
                <c:pt idx="233">
                  <c:v>1066.904751564603</c:v>
                </c:pt>
                <c:pt idx="234">
                  <c:v>1065.5507696110592</c:v>
                </c:pt>
                <c:pt idx="235">
                  <c:v>1064.1967876575154</c:v>
                </c:pt>
                <c:pt idx="236">
                  <c:v>1062.8428057039716</c:v>
                </c:pt>
                <c:pt idx="237">
                  <c:v>1061.4888237504279</c:v>
                </c:pt>
                <c:pt idx="238">
                  <c:v>1058.0562129274765</c:v>
                </c:pt>
                <c:pt idx="239">
                  <c:v>1054.6236021045252</c:v>
                </c:pt>
                <c:pt idx="240">
                  <c:v>1051.1909912815738</c:v>
                </c:pt>
                <c:pt idx="241">
                  <c:v>1047.7583804586225</c:v>
                </c:pt>
                <c:pt idx="242">
                  <c:v>1044.3257696356711</c:v>
                </c:pt>
                <c:pt idx="243">
                  <c:v>1040.8931588127198</c:v>
                </c:pt>
                <c:pt idx="244">
                  <c:v>1037.4605479897684</c:v>
                </c:pt>
                <c:pt idx="245">
                  <c:v>1034.0279371668171</c:v>
                </c:pt>
                <c:pt idx="246">
                  <c:v>1030.5953263438657</c:v>
                </c:pt>
                <c:pt idx="247">
                  <c:v>1027.1627155209144</c:v>
                </c:pt>
                <c:pt idx="248">
                  <c:v>1023.7301046979632</c:v>
                </c:pt>
                <c:pt idx="249">
                  <c:v>929.62900000000002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Hydraulics!$AE$4:$AE$253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1077.8719150329525</c:v>
                </c:pt>
                <c:pt idx="2">
                  <c:v>1076.725830065905</c:v>
                </c:pt>
                <c:pt idx="3">
                  <c:v>1125.5797450988575</c:v>
                </c:pt>
                <c:pt idx="4">
                  <c:v>1124.43366013181</c:v>
                </c:pt>
                <c:pt idx="5">
                  <c:v>1123.2875751647625</c:v>
                </c:pt>
                <c:pt idx="6">
                  <c:v>1122.141490197715</c:v>
                </c:pt>
                <c:pt idx="7">
                  <c:v>1120.9954052306675</c:v>
                </c:pt>
                <c:pt idx="8">
                  <c:v>1119.84932026362</c:v>
                </c:pt>
                <c:pt idx="9">
                  <c:v>1118.7032352965725</c:v>
                </c:pt>
                <c:pt idx="10">
                  <c:v>1111.67</c:v>
                </c:pt>
                <c:pt idx="11">
                  <c:v>1110.5239150329526</c:v>
                </c:pt>
                <c:pt idx="12">
                  <c:v>1109.3778300659051</c:v>
                </c:pt>
                <c:pt idx="13">
                  <c:v>1108.2317450988576</c:v>
                </c:pt>
                <c:pt idx="14">
                  <c:v>1107.0856601318101</c:v>
                </c:pt>
                <c:pt idx="15">
                  <c:v>1105.9395751647626</c:v>
                </c:pt>
                <c:pt idx="16">
                  <c:v>1104.7934901977151</c:v>
                </c:pt>
                <c:pt idx="17">
                  <c:v>1103.6474052306676</c:v>
                </c:pt>
                <c:pt idx="18">
                  <c:v>1102.5013202636201</c:v>
                </c:pt>
                <c:pt idx="19">
                  <c:v>1101.3552352965726</c:v>
                </c:pt>
                <c:pt idx="20">
                  <c:v>1100.2091503295251</c:v>
                </c:pt>
                <c:pt idx="21">
                  <c:v>1099.0630653624776</c:v>
                </c:pt>
                <c:pt idx="22">
                  <c:v>1097.9169803954301</c:v>
                </c:pt>
                <c:pt idx="23">
                  <c:v>1096.7708954283826</c:v>
                </c:pt>
                <c:pt idx="24">
                  <c:v>1095.6248104613351</c:v>
                </c:pt>
                <c:pt idx="25">
                  <c:v>1094.4787254942876</c:v>
                </c:pt>
                <c:pt idx="26">
                  <c:v>1093.3326405272401</c:v>
                </c:pt>
                <c:pt idx="27">
                  <c:v>1092.1865555601926</c:v>
                </c:pt>
                <c:pt idx="28">
                  <c:v>1091.0404705931451</c:v>
                </c:pt>
                <c:pt idx="29">
                  <c:v>1089.8943856260976</c:v>
                </c:pt>
                <c:pt idx="30">
                  <c:v>1088.7483006590501</c:v>
                </c:pt>
                <c:pt idx="31">
                  <c:v>1087.6022156920026</c:v>
                </c:pt>
                <c:pt idx="32">
                  <c:v>1086.4561307249551</c:v>
                </c:pt>
                <c:pt idx="33">
                  <c:v>1085.3100457579076</c:v>
                </c:pt>
                <c:pt idx="34">
                  <c:v>1084.1639607908601</c:v>
                </c:pt>
                <c:pt idx="35">
                  <c:v>1083.0178758238126</c:v>
                </c:pt>
                <c:pt idx="36">
                  <c:v>1081.8717908567651</c:v>
                </c:pt>
                <c:pt idx="37">
                  <c:v>1080.7257058897176</c:v>
                </c:pt>
                <c:pt idx="38">
                  <c:v>1079.5796209226701</c:v>
                </c:pt>
                <c:pt idx="39">
                  <c:v>1078.4335359556226</c:v>
                </c:pt>
                <c:pt idx="40">
                  <c:v>1077.2874509885751</c:v>
                </c:pt>
                <c:pt idx="41">
                  <c:v>1076.1413660215276</c:v>
                </c:pt>
                <c:pt idx="42">
                  <c:v>1074.9952810544801</c:v>
                </c:pt>
                <c:pt idx="43">
                  <c:v>1073.8491960874326</c:v>
                </c:pt>
                <c:pt idx="44">
                  <c:v>1072.7031111203851</c:v>
                </c:pt>
                <c:pt idx="45">
                  <c:v>1071.5570261533376</c:v>
                </c:pt>
                <c:pt idx="46">
                  <c:v>1070.4109411862901</c:v>
                </c:pt>
                <c:pt idx="47">
                  <c:v>1069.2648562192426</c:v>
                </c:pt>
                <c:pt idx="48">
                  <c:v>1068.1187712521951</c:v>
                </c:pt>
                <c:pt idx="49">
                  <c:v>1066.9726862851476</c:v>
                </c:pt>
                <c:pt idx="50">
                  <c:v>1065.8266013181001</c:v>
                </c:pt>
                <c:pt idx="51">
                  <c:v>1064.6805163510526</c:v>
                </c:pt>
                <c:pt idx="52">
                  <c:v>1063.5344313840051</c:v>
                </c:pt>
                <c:pt idx="53">
                  <c:v>1062.3883464169576</c:v>
                </c:pt>
                <c:pt idx="54">
                  <c:v>1061.2422614499101</c:v>
                </c:pt>
                <c:pt idx="55">
                  <c:v>1060.0961764828626</c:v>
                </c:pt>
                <c:pt idx="56">
                  <c:v>1058.9500915158151</c:v>
                </c:pt>
                <c:pt idx="57">
                  <c:v>1057.8040065487676</c:v>
                </c:pt>
                <c:pt idx="58">
                  <c:v>1056.6579215817201</c:v>
                </c:pt>
                <c:pt idx="59">
                  <c:v>1055.5118366146726</c:v>
                </c:pt>
                <c:pt idx="60">
                  <c:v>1054.3657516476251</c:v>
                </c:pt>
                <c:pt idx="61">
                  <c:v>1053.2196666805776</c:v>
                </c:pt>
                <c:pt idx="62">
                  <c:v>1052.0735817135301</c:v>
                </c:pt>
                <c:pt idx="63">
                  <c:v>1050.9274967464826</c:v>
                </c:pt>
                <c:pt idx="64">
                  <c:v>1049.7814117794351</c:v>
                </c:pt>
                <c:pt idx="65">
                  <c:v>1048.6353268123876</c:v>
                </c:pt>
                <c:pt idx="66">
                  <c:v>1047.4892418453401</c:v>
                </c:pt>
                <c:pt idx="67">
                  <c:v>1046.3431568782926</c:v>
                </c:pt>
                <c:pt idx="68">
                  <c:v>1045.1970719112451</c:v>
                </c:pt>
                <c:pt idx="69">
                  <c:v>1044.0509869441976</c:v>
                </c:pt>
                <c:pt idx="70">
                  <c:v>1042.9049019771501</c:v>
                </c:pt>
                <c:pt idx="71">
                  <c:v>1041.7588170101026</c:v>
                </c:pt>
                <c:pt idx="72">
                  <c:v>1040.6127320430551</c:v>
                </c:pt>
                <c:pt idx="73">
                  <c:v>1039.4666470760076</c:v>
                </c:pt>
                <c:pt idx="74">
                  <c:v>1038.3205621089601</c:v>
                </c:pt>
                <c:pt idx="75">
                  <c:v>1037.1744771419126</c:v>
                </c:pt>
                <c:pt idx="76">
                  <c:v>1036.0283921748651</c:v>
                </c:pt>
                <c:pt idx="77">
                  <c:v>1034.8823072078176</c:v>
                </c:pt>
                <c:pt idx="78">
                  <c:v>1033.7362222407701</c:v>
                </c:pt>
                <c:pt idx="79">
                  <c:v>1032.5901372737226</c:v>
                </c:pt>
                <c:pt idx="80">
                  <c:v>1031.4440523066751</c:v>
                </c:pt>
                <c:pt idx="81">
                  <c:v>1029.9333548432819</c:v>
                </c:pt>
                <c:pt idx="82">
                  <c:v>1028.4226573798887</c:v>
                </c:pt>
                <c:pt idx="83">
                  <c:v>1026.9119599164956</c:v>
                </c:pt>
                <c:pt idx="84">
                  <c:v>1025.4012624531024</c:v>
                </c:pt>
                <c:pt idx="85">
                  <c:v>1023.8905649897093</c:v>
                </c:pt>
                <c:pt idx="86">
                  <c:v>1022.3798675263163</c:v>
                </c:pt>
                <c:pt idx="87">
                  <c:v>1020.8691700629232</c:v>
                </c:pt>
                <c:pt idx="88">
                  <c:v>1019.3584725995302</c:v>
                </c:pt>
                <c:pt idx="89">
                  <c:v>1017.8477751361371</c:v>
                </c:pt>
                <c:pt idx="90">
                  <c:v>1016.337077672744</c:v>
                </c:pt>
                <c:pt idx="91">
                  <c:v>1014.826380209351</c:v>
                </c:pt>
                <c:pt idx="92">
                  <c:v>1013.3156827459579</c:v>
                </c:pt>
                <c:pt idx="93">
                  <c:v>1011.8049852825649</c:v>
                </c:pt>
                <c:pt idx="94">
                  <c:v>1010.2942878191718</c:v>
                </c:pt>
                <c:pt idx="95">
                  <c:v>1008.7835903557788</c:v>
                </c:pt>
                <c:pt idx="96">
                  <c:v>1007.2728928923857</c:v>
                </c:pt>
                <c:pt idx="97">
                  <c:v>1005.7621954289926</c:v>
                </c:pt>
                <c:pt idx="98">
                  <c:v>1004.2514979655996</c:v>
                </c:pt>
                <c:pt idx="99">
                  <c:v>1002.7408005022065</c:v>
                </c:pt>
                <c:pt idx="100">
                  <c:v>1001.2301030388135</c:v>
                </c:pt>
                <c:pt idx="101">
                  <c:v>999.71940557542041</c:v>
                </c:pt>
                <c:pt idx="102">
                  <c:v>998.20870811202735</c:v>
                </c:pt>
                <c:pt idx="103">
                  <c:v>996.69801064863429</c:v>
                </c:pt>
                <c:pt idx="104">
                  <c:v>995.18731318524124</c:v>
                </c:pt>
                <c:pt idx="105">
                  <c:v>993.67661572184818</c:v>
                </c:pt>
                <c:pt idx="106">
                  <c:v>992.16591825845512</c:v>
                </c:pt>
                <c:pt idx="107">
                  <c:v>990.65522079506206</c:v>
                </c:pt>
                <c:pt idx="108">
                  <c:v>989.14452333166901</c:v>
                </c:pt>
                <c:pt idx="109">
                  <c:v>987.63382586827595</c:v>
                </c:pt>
                <c:pt idx="110">
                  <c:v>986.12312840488289</c:v>
                </c:pt>
                <c:pt idx="111">
                  <c:v>984.61243094148983</c:v>
                </c:pt>
                <c:pt idx="112">
                  <c:v>983.73034454643584</c:v>
                </c:pt>
                <c:pt idx="113">
                  <c:v>1043.4839999999999</c:v>
                </c:pt>
                <c:pt idx="114">
                  <c:v>1182.9413696699974</c:v>
                </c:pt>
                <c:pt idx="115">
                  <c:v>1182.3987393399948</c:v>
                </c:pt>
                <c:pt idx="116">
                  <c:v>1181.8561090099922</c:v>
                </c:pt>
                <c:pt idx="117">
                  <c:v>1181.3134786799897</c:v>
                </c:pt>
                <c:pt idx="118">
                  <c:v>1180.7708483499871</c:v>
                </c:pt>
                <c:pt idx="119">
                  <c:v>1180.2282180199845</c:v>
                </c:pt>
                <c:pt idx="120">
                  <c:v>1179.685587689982</c:v>
                </c:pt>
                <c:pt idx="121">
                  <c:v>1179.1429573599794</c:v>
                </c:pt>
                <c:pt idx="122">
                  <c:v>1178.6003270299768</c:v>
                </c:pt>
                <c:pt idx="123">
                  <c:v>1178.0576966999743</c:v>
                </c:pt>
                <c:pt idx="124">
                  <c:v>1177.5150663699717</c:v>
                </c:pt>
                <c:pt idx="125">
                  <c:v>1176.9724360399691</c:v>
                </c:pt>
                <c:pt idx="126">
                  <c:v>1176.4298057099666</c:v>
                </c:pt>
                <c:pt idx="127">
                  <c:v>1175.887175379964</c:v>
                </c:pt>
                <c:pt idx="128">
                  <c:v>1175.3445450499614</c:v>
                </c:pt>
                <c:pt idx="129">
                  <c:v>1174.8019147199589</c:v>
                </c:pt>
                <c:pt idx="130">
                  <c:v>1174.2592843899563</c:v>
                </c:pt>
                <c:pt idx="131">
                  <c:v>1173.7166540599537</c:v>
                </c:pt>
                <c:pt idx="132">
                  <c:v>1173.1740237299512</c:v>
                </c:pt>
                <c:pt idx="133">
                  <c:v>1172.6313933999486</c:v>
                </c:pt>
                <c:pt idx="134">
                  <c:v>1172.088763069946</c:v>
                </c:pt>
                <c:pt idx="135">
                  <c:v>1171.5461327399435</c:v>
                </c:pt>
                <c:pt idx="136">
                  <c:v>1171.0035024099409</c:v>
                </c:pt>
                <c:pt idx="137">
                  <c:v>1170.4608720799383</c:v>
                </c:pt>
                <c:pt idx="138">
                  <c:v>1169.9182417499358</c:v>
                </c:pt>
                <c:pt idx="139">
                  <c:v>1169.3756114199332</c:v>
                </c:pt>
                <c:pt idx="140">
                  <c:v>1168.8329810899306</c:v>
                </c:pt>
                <c:pt idx="141">
                  <c:v>1168.2903507599281</c:v>
                </c:pt>
                <c:pt idx="142">
                  <c:v>1167.7477204299255</c:v>
                </c:pt>
                <c:pt idx="143">
                  <c:v>1167.2050900999229</c:v>
                </c:pt>
                <c:pt idx="144">
                  <c:v>1166.6624597699204</c:v>
                </c:pt>
                <c:pt idx="145">
                  <c:v>1166.1198294399178</c:v>
                </c:pt>
                <c:pt idx="146">
                  <c:v>1165.5771991099152</c:v>
                </c:pt>
                <c:pt idx="147">
                  <c:v>1165.0345687799127</c:v>
                </c:pt>
                <c:pt idx="148">
                  <c:v>1164.4919384499101</c:v>
                </c:pt>
                <c:pt idx="149">
                  <c:v>1163.9493081199075</c:v>
                </c:pt>
                <c:pt idx="150">
                  <c:v>1163.406677789905</c:v>
                </c:pt>
                <c:pt idx="151">
                  <c:v>1162.8640474599024</c:v>
                </c:pt>
                <c:pt idx="152">
                  <c:v>1162.3214171298998</c:v>
                </c:pt>
                <c:pt idx="153">
                  <c:v>1161.7787867998973</c:v>
                </c:pt>
                <c:pt idx="154">
                  <c:v>1161.2361564698947</c:v>
                </c:pt>
                <c:pt idx="155">
                  <c:v>1160.6935261398921</c:v>
                </c:pt>
                <c:pt idx="156">
                  <c:v>1160.1508958098896</c:v>
                </c:pt>
                <c:pt idx="157">
                  <c:v>1159.608265479887</c:v>
                </c:pt>
                <c:pt idx="158">
                  <c:v>1159.0656351498844</c:v>
                </c:pt>
                <c:pt idx="159">
                  <c:v>1158.5230048198819</c:v>
                </c:pt>
                <c:pt idx="160">
                  <c:v>1157.9803744898793</c:v>
                </c:pt>
                <c:pt idx="161">
                  <c:v>1157.4377441598767</c:v>
                </c:pt>
                <c:pt idx="162">
                  <c:v>1156.8951138298742</c:v>
                </c:pt>
                <c:pt idx="163">
                  <c:v>1156.3524834998716</c:v>
                </c:pt>
                <c:pt idx="164">
                  <c:v>1155.809853169869</c:v>
                </c:pt>
                <c:pt idx="165">
                  <c:v>1155.2672228398665</c:v>
                </c:pt>
                <c:pt idx="166">
                  <c:v>1154.7245925098639</c:v>
                </c:pt>
                <c:pt idx="167">
                  <c:v>1153.2138950464707</c:v>
                </c:pt>
                <c:pt idx="168">
                  <c:v>1151.7031975830776</c:v>
                </c:pt>
                <c:pt idx="169">
                  <c:v>1150.1925001196844</c:v>
                </c:pt>
                <c:pt idx="170">
                  <c:v>1148.6818026562912</c:v>
                </c:pt>
                <c:pt idx="171">
                  <c:v>1147.171105192898</c:v>
                </c:pt>
                <c:pt idx="172">
                  <c:v>1145.6604077295049</c:v>
                </c:pt>
                <c:pt idx="173">
                  <c:v>1144.1497102661117</c:v>
                </c:pt>
                <c:pt idx="174">
                  <c:v>1142.6390128027185</c:v>
                </c:pt>
                <c:pt idx="175">
                  <c:v>1141.1283153393254</c:v>
                </c:pt>
                <c:pt idx="176">
                  <c:v>1139.6176178759322</c:v>
                </c:pt>
                <c:pt idx="177">
                  <c:v>1138.106920412539</c:v>
                </c:pt>
                <c:pt idx="178">
                  <c:v>1136.5962229491458</c:v>
                </c:pt>
                <c:pt idx="179">
                  <c:v>1135.0855254857527</c:v>
                </c:pt>
                <c:pt idx="180">
                  <c:v>1133.5748280223595</c:v>
                </c:pt>
                <c:pt idx="181">
                  <c:v>1132.0641305589663</c:v>
                </c:pt>
                <c:pt idx="182">
                  <c:v>1130.5534330955732</c:v>
                </c:pt>
                <c:pt idx="183">
                  <c:v>1129.04273563218</c:v>
                </c:pt>
                <c:pt idx="184">
                  <c:v>1127.5320381687868</c:v>
                </c:pt>
                <c:pt idx="185">
                  <c:v>1126.0213407053936</c:v>
                </c:pt>
                <c:pt idx="186">
                  <c:v>1124.5106432420005</c:v>
                </c:pt>
                <c:pt idx="187">
                  <c:v>1122.9999457786073</c:v>
                </c:pt>
                <c:pt idx="188">
                  <c:v>1121.4892483152141</c:v>
                </c:pt>
                <c:pt idx="189">
                  <c:v>1119.978550851821</c:v>
                </c:pt>
                <c:pt idx="190">
                  <c:v>1118.4678533884278</c:v>
                </c:pt>
                <c:pt idx="191">
                  <c:v>1116.9571559250346</c:v>
                </c:pt>
                <c:pt idx="192">
                  <c:v>1115.4464584616414</c:v>
                </c:pt>
                <c:pt idx="193">
                  <c:v>1113.9357609982483</c:v>
                </c:pt>
                <c:pt idx="194">
                  <c:v>1112.4250635348551</c:v>
                </c:pt>
                <c:pt idx="195">
                  <c:v>1110.9143660714619</c:v>
                </c:pt>
                <c:pt idx="196">
                  <c:v>1109.4036686080688</c:v>
                </c:pt>
                <c:pt idx="197">
                  <c:v>1107.8929711446756</c:v>
                </c:pt>
                <c:pt idx="198">
                  <c:v>1106.3822736812824</c:v>
                </c:pt>
                <c:pt idx="199">
                  <c:v>1104.8715762178892</c:v>
                </c:pt>
                <c:pt idx="200">
                  <c:v>1103.3608787544961</c:v>
                </c:pt>
                <c:pt idx="201">
                  <c:v>1101.8501812911029</c:v>
                </c:pt>
                <c:pt idx="202">
                  <c:v>1100.3394838277097</c:v>
                </c:pt>
                <c:pt idx="203">
                  <c:v>1098.8287863643166</c:v>
                </c:pt>
                <c:pt idx="204">
                  <c:v>1097.3180889009234</c:v>
                </c:pt>
                <c:pt idx="205">
                  <c:v>1095.8073914375302</c:v>
                </c:pt>
                <c:pt idx="206">
                  <c:v>1094.296693974137</c:v>
                </c:pt>
                <c:pt idx="207">
                  <c:v>1092.7859965107439</c:v>
                </c:pt>
                <c:pt idx="208">
                  <c:v>1091.2752990473507</c:v>
                </c:pt>
                <c:pt idx="209">
                  <c:v>1089.7646015839575</c:v>
                </c:pt>
                <c:pt idx="210">
                  <c:v>1088.2539041205644</c:v>
                </c:pt>
                <c:pt idx="211">
                  <c:v>1086.7432066571712</c:v>
                </c:pt>
                <c:pt idx="212">
                  <c:v>1085.232509193778</c:v>
                </c:pt>
                <c:pt idx="213">
                  <c:v>1083.7218117303848</c:v>
                </c:pt>
                <c:pt idx="214">
                  <c:v>1082.2111142669917</c:v>
                </c:pt>
                <c:pt idx="215">
                  <c:v>1080.7004168035985</c:v>
                </c:pt>
                <c:pt idx="216">
                  <c:v>1079.1897193402053</c:v>
                </c:pt>
                <c:pt idx="217">
                  <c:v>1077.6790218768122</c:v>
                </c:pt>
                <c:pt idx="218">
                  <c:v>1076.168324413419</c:v>
                </c:pt>
                <c:pt idx="219">
                  <c:v>1074.6576269500258</c:v>
                </c:pt>
                <c:pt idx="220">
                  <c:v>1073.1469294866326</c:v>
                </c:pt>
                <c:pt idx="221">
                  <c:v>1071.6362320232395</c:v>
                </c:pt>
                <c:pt idx="222">
                  <c:v>1070.1255345598463</c:v>
                </c:pt>
                <c:pt idx="223">
                  <c:v>1068.6148370964531</c:v>
                </c:pt>
                <c:pt idx="224">
                  <c:v>1067.10413963306</c:v>
                </c:pt>
                <c:pt idx="225">
                  <c:v>1065.5934421696668</c:v>
                </c:pt>
                <c:pt idx="226">
                  <c:v>1064.0827447062736</c:v>
                </c:pt>
                <c:pt idx="227">
                  <c:v>1062.5720472428804</c:v>
                </c:pt>
                <c:pt idx="228">
                  <c:v>1061.0613497794873</c:v>
                </c:pt>
                <c:pt idx="229">
                  <c:v>1059.5506523160941</c:v>
                </c:pt>
                <c:pt idx="230">
                  <c:v>1058.0399548527009</c:v>
                </c:pt>
                <c:pt idx="231">
                  <c:v>1056.5292573893078</c:v>
                </c:pt>
                <c:pt idx="232">
                  <c:v>1055.0185599259146</c:v>
                </c:pt>
                <c:pt idx="233">
                  <c:v>1053.5078624625214</c:v>
                </c:pt>
                <c:pt idx="234">
                  <c:v>1051.9971649991282</c:v>
                </c:pt>
                <c:pt idx="235">
                  <c:v>1050.4864675357351</c:v>
                </c:pt>
                <c:pt idx="236">
                  <c:v>1048.9757700723419</c:v>
                </c:pt>
                <c:pt idx="237">
                  <c:v>1047.4650726089487</c:v>
                </c:pt>
                <c:pt idx="238">
                  <c:v>1043.6240964048457</c:v>
                </c:pt>
                <c:pt idx="239">
                  <c:v>1039.7831202007426</c:v>
                </c:pt>
                <c:pt idx="240">
                  <c:v>1035.9421439966395</c:v>
                </c:pt>
                <c:pt idx="241">
                  <c:v>1032.1011677925364</c:v>
                </c:pt>
                <c:pt idx="242">
                  <c:v>1028.2601915884334</c:v>
                </c:pt>
                <c:pt idx="243">
                  <c:v>1024.4192153843303</c:v>
                </c:pt>
                <c:pt idx="244">
                  <c:v>1020.5782391802273</c:v>
                </c:pt>
                <c:pt idx="245">
                  <c:v>1016.7372629761244</c:v>
                </c:pt>
                <c:pt idx="246">
                  <c:v>1012.8962867720214</c:v>
                </c:pt>
                <c:pt idx="247">
                  <c:v>1009.0553105679185</c:v>
                </c:pt>
                <c:pt idx="248">
                  <c:v>1005.2143343638155</c:v>
                </c:pt>
                <c:pt idx="249">
                  <c:v>929.62900000000002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Hydraulics!$AL$4:$AL$253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1077.6795790091687</c:v>
                </c:pt>
                <c:pt idx="2">
                  <c:v>1076.3411580183374</c:v>
                </c:pt>
                <c:pt idx="3">
                  <c:v>1125.0027370275061</c:v>
                </c:pt>
                <c:pt idx="4">
                  <c:v>1123.6643160366748</c:v>
                </c:pt>
                <c:pt idx="5">
                  <c:v>1122.3258950458435</c:v>
                </c:pt>
                <c:pt idx="6">
                  <c:v>1120.9874740550122</c:v>
                </c:pt>
                <c:pt idx="7">
                  <c:v>1119.6490530641809</c:v>
                </c:pt>
                <c:pt idx="8">
                  <c:v>1118.3106320733496</c:v>
                </c:pt>
                <c:pt idx="9">
                  <c:v>1116.9722110825182</c:v>
                </c:pt>
                <c:pt idx="10">
                  <c:v>1111.67</c:v>
                </c:pt>
                <c:pt idx="11">
                  <c:v>1110.3315790091688</c:v>
                </c:pt>
                <c:pt idx="12">
                  <c:v>1108.9931580183375</c:v>
                </c:pt>
                <c:pt idx="13">
                  <c:v>1107.6547370275061</c:v>
                </c:pt>
                <c:pt idx="14">
                  <c:v>1106.3163160366748</c:v>
                </c:pt>
                <c:pt idx="15">
                  <c:v>1104.9778950458435</c:v>
                </c:pt>
                <c:pt idx="16">
                  <c:v>1103.6394740550122</c:v>
                </c:pt>
                <c:pt idx="17">
                  <c:v>1102.3010530641809</c:v>
                </c:pt>
                <c:pt idx="18">
                  <c:v>1100.9626320733496</c:v>
                </c:pt>
                <c:pt idx="19">
                  <c:v>1099.6242110825183</c:v>
                </c:pt>
                <c:pt idx="20">
                  <c:v>1098.285790091687</c:v>
                </c:pt>
                <c:pt idx="21">
                  <c:v>1096.9473691008557</c:v>
                </c:pt>
                <c:pt idx="22">
                  <c:v>1095.6089481100244</c:v>
                </c:pt>
                <c:pt idx="23">
                  <c:v>1094.270527119193</c:v>
                </c:pt>
                <c:pt idx="24">
                  <c:v>1092.9321061283617</c:v>
                </c:pt>
                <c:pt idx="25">
                  <c:v>1091.5936851375304</c:v>
                </c:pt>
                <c:pt idx="26">
                  <c:v>1090.2552641466991</c:v>
                </c:pt>
                <c:pt idx="27">
                  <c:v>1088.9168431558678</c:v>
                </c:pt>
                <c:pt idx="28">
                  <c:v>1087.5784221650365</c:v>
                </c:pt>
                <c:pt idx="29">
                  <c:v>1086.2400011742052</c:v>
                </c:pt>
                <c:pt idx="30">
                  <c:v>1084.9015801833739</c:v>
                </c:pt>
                <c:pt idx="31">
                  <c:v>1083.5631591925426</c:v>
                </c:pt>
                <c:pt idx="32">
                  <c:v>1082.2247382017113</c:v>
                </c:pt>
                <c:pt idx="33">
                  <c:v>1080.88631721088</c:v>
                </c:pt>
                <c:pt idx="34">
                  <c:v>1079.5478962200486</c:v>
                </c:pt>
                <c:pt idx="35">
                  <c:v>1078.2094752292173</c:v>
                </c:pt>
                <c:pt idx="36">
                  <c:v>1076.871054238386</c:v>
                </c:pt>
                <c:pt idx="37">
                  <c:v>1075.5326332475547</c:v>
                </c:pt>
                <c:pt idx="38">
                  <c:v>1074.1942122567234</c:v>
                </c:pt>
                <c:pt idx="39">
                  <c:v>1072.8557912658921</c:v>
                </c:pt>
                <c:pt idx="40">
                  <c:v>1071.5173702750608</c:v>
                </c:pt>
                <c:pt idx="41">
                  <c:v>1070.1789492842295</c:v>
                </c:pt>
                <c:pt idx="42">
                  <c:v>1068.8405282933982</c:v>
                </c:pt>
                <c:pt idx="43">
                  <c:v>1067.5021073025669</c:v>
                </c:pt>
                <c:pt idx="44">
                  <c:v>1066.1636863117355</c:v>
                </c:pt>
                <c:pt idx="45">
                  <c:v>1064.8252653209042</c:v>
                </c:pt>
                <c:pt idx="46">
                  <c:v>1063.4868443300729</c:v>
                </c:pt>
                <c:pt idx="47">
                  <c:v>1062.1484233392416</c:v>
                </c:pt>
                <c:pt idx="48">
                  <c:v>1060.8100023484103</c:v>
                </c:pt>
                <c:pt idx="49">
                  <c:v>1059.471581357579</c:v>
                </c:pt>
                <c:pt idx="50">
                  <c:v>1058.1331603667477</c:v>
                </c:pt>
                <c:pt idx="51">
                  <c:v>1056.7947393759164</c:v>
                </c:pt>
                <c:pt idx="52">
                  <c:v>1055.4563183850851</c:v>
                </c:pt>
                <c:pt idx="53">
                  <c:v>1054.1178973942538</c:v>
                </c:pt>
                <c:pt idx="54">
                  <c:v>1052.7794764034224</c:v>
                </c:pt>
                <c:pt idx="55">
                  <c:v>1051.4410554125911</c:v>
                </c:pt>
                <c:pt idx="56">
                  <c:v>1050.1026344217598</c:v>
                </c:pt>
                <c:pt idx="57">
                  <c:v>1048.7642134309285</c:v>
                </c:pt>
                <c:pt idx="58">
                  <c:v>1047.4257924400972</c:v>
                </c:pt>
                <c:pt idx="59">
                  <c:v>1046.0873714492659</c:v>
                </c:pt>
                <c:pt idx="60">
                  <c:v>1044.7489504584346</c:v>
                </c:pt>
                <c:pt idx="61">
                  <c:v>1043.4105294676033</c:v>
                </c:pt>
                <c:pt idx="62">
                  <c:v>1042.072108476772</c:v>
                </c:pt>
                <c:pt idx="63">
                  <c:v>1040.7336874859407</c:v>
                </c:pt>
                <c:pt idx="64">
                  <c:v>1039.3952664951094</c:v>
                </c:pt>
                <c:pt idx="65">
                  <c:v>1038.056845504278</c:v>
                </c:pt>
                <c:pt idx="66">
                  <c:v>1036.7184245134467</c:v>
                </c:pt>
                <c:pt idx="67">
                  <c:v>1035.3800035226154</c:v>
                </c:pt>
                <c:pt idx="68">
                  <c:v>1034.0415825317841</c:v>
                </c:pt>
                <c:pt idx="69">
                  <c:v>1032.7031615409528</c:v>
                </c:pt>
                <c:pt idx="70">
                  <c:v>1031.3647405501215</c:v>
                </c:pt>
                <c:pt idx="71">
                  <c:v>1030.0263195592902</c:v>
                </c:pt>
                <c:pt idx="72">
                  <c:v>1028.6878985684589</c:v>
                </c:pt>
                <c:pt idx="73">
                  <c:v>1027.3494775776276</c:v>
                </c:pt>
                <c:pt idx="74">
                  <c:v>1026.0110565867963</c:v>
                </c:pt>
                <c:pt idx="75">
                  <c:v>1024.6726355959649</c:v>
                </c:pt>
                <c:pt idx="76">
                  <c:v>1023.3342146051338</c:v>
                </c:pt>
                <c:pt idx="77">
                  <c:v>1021.9957936143026</c:v>
                </c:pt>
                <c:pt idx="78">
                  <c:v>1020.6573726234714</c:v>
                </c:pt>
                <c:pt idx="79">
                  <c:v>1019.3189516326402</c:v>
                </c:pt>
                <c:pt idx="80">
                  <c:v>1017.980530641809</c:v>
                </c:pt>
                <c:pt idx="81">
                  <c:v>1016.2141055879756</c:v>
                </c:pt>
                <c:pt idx="82">
                  <c:v>1014.4476805341423</c:v>
                </c:pt>
                <c:pt idx="83">
                  <c:v>1012.6812554803089</c:v>
                </c:pt>
                <c:pt idx="84">
                  <c:v>1010.9148304264755</c:v>
                </c:pt>
                <c:pt idx="85">
                  <c:v>1009.1484053726422</c:v>
                </c:pt>
                <c:pt idx="86">
                  <c:v>1007.3819803188088</c:v>
                </c:pt>
                <c:pt idx="87">
                  <c:v>1005.6155552649755</c:v>
                </c:pt>
                <c:pt idx="88">
                  <c:v>1003.8491302111421</c:v>
                </c:pt>
                <c:pt idx="89">
                  <c:v>1002.0827051573087</c:v>
                </c:pt>
                <c:pt idx="90">
                  <c:v>1000.3162801034754</c:v>
                </c:pt>
                <c:pt idx="91">
                  <c:v>998.54985504964202</c:v>
                </c:pt>
                <c:pt idx="92">
                  <c:v>996.78342999580866</c:v>
                </c:pt>
                <c:pt idx="93">
                  <c:v>995.0170049419753</c:v>
                </c:pt>
                <c:pt idx="94">
                  <c:v>993.25057988814194</c:v>
                </c:pt>
                <c:pt idx="95">
                  <c:v>991.48415483430858</c:v>
                </c:pt>
                <c:pt idx="96">
                  <c:v>989.71772978047522</c:v>
                </c:pt>
                <c:pt idx="97">
                  <c:v>987.95130472664187</c:v>
                </c:pt>
                <c:pt idx="98">
                  <c:v>986.18487967280851</c:v>
                </c:pt>
                <c:pt idx="99">
                  <c:v>984.41845461897515</c:v>
                </c:pt>
                <c:pt idx="100">
                  <c:v>982.65202956514179</c:v>
                </c:pt>
                <c:pt idx="101">
                  <c:v>980.88560451130843</c:v>
                </c:pt>
                <c:pt idx="102">
                  <c:v>979.11917945747507</c:v>
                </c:pt>
                <c:pt idx="103">
                  <c:v>977.35275440364171</c:v>
                </c:pt>
                <c:pt idx="104">
                  <c:v>975.58632934980835</c:v>
                </c:pt>
                <c:pt idx="105">
                  <c:v>973.81990429597499</c:v>
                </c:pt>
                <c:pt idx="106">
                  <c:v>972.05347924214163</c:v>
                </c:pt>
                <c:pt idx="107">
                  <c:v>970.28705418830828</c:v>
                </c:pt>
                <c:pt idx="108">
                  <c:v>968.52062913447492</c:v>
                </c:pt>
                <c:pt idx="109">
                  <c:v>966.75420408064156</c:v>
                </c:pt>
                <c:pt idx="110">
                  <c:v>964.9877790268082</c:v>
                </c:pt>
                <c:pt idx="111">
                  <c:v>963.22135397297484</c:v>
                </c:pt>
                <c:pt idx="112">
                  <c:v>962.19246989877138</c:v>
                </c:pt>
                <c:pt idx="113">
                  <c:v>1043.4839999999999</c:v>
                </c:pt>
                <c:pt idx="114">
                  <c:v>1182.8524998601711</c:v>
                </c:pt>
                <c:pt idx="115">
                  <c:v>1182.2209997203422</c:v>
                </c:pt>
                <c:pt idx="116">
                  <c:v>1181.5894995805133</c:v>
                </c:pt>
                <c:pt idx="117">
                  <c:v>1180.9579994406845</c:v>
                </c:pt>
                <c:pt idx="118">
                  <c:v>1180.3264993008556</c:v>
                </c:pt>
                <c:pt idx="119">
                  <c:v>1179.6949991610268</c:v>
                </c:pt>
                <c:pt idx="120">
                  <c:v>1179.0634990211979</c:v>
                </c:pt>
                <c:pt idx="121">
                  <c:v>1178.4319988813691</c:v>
                </c:pt>
                <c:pt idx="122">
                  <c:v>1177.8004987415402</c:v>
                </c:pt>
                <c:pt idx="123">
                  <c:v>1177.1689986017113</c:v>
                </c:pt>
                <c:pt idx="124">
                  <c:v>1176.5374984618825</c:v>
                </c:pt>
                <c:pt idx="125">
                  <c:v>1175.9059983220536</c:v>
                </c:pt>
                <c:pt idx="126">
                  <c:v>1175.2744981822248</c:v>
                </c:pt>
                <c:pt idx="127">
                  <c:v>1174.6429980423959</c:v>
                </c:pt>
                <c:pt idx="128">
                  <c:v>1174.011497902567</c:v>
                </c:pt>
                <c:pt idx="129">
                  <c:v>1173.3799977627382</c:v>
                </c:pt>
                <c:pt idx="130">
                  <c:v>1172.7484976229093</c:v>
                </c:pt>
                <c:pt idx="131">
                  <c:v>1172.1169974830805</c:v>
                </c:pt>
                <c:pt idx="132">
                  <c:v>1171.4854973432516</c:v>
                </c:pt>
                <c:pt idx="133">
                  <c:v>1170.8539972034228</c:v>
                </c:pt>
                <c:pt idx="134">
                  <c:v>1170.2224970635939</c:v>
                </c:pt>
                <c:pt idx="135">
                  <c:v>1169.590996923765</c:v>
                </c:pt>
                <c:pt idx="136">
                  <c:v>1168.9594967839362</c:v>
                </c:pt>
                <c:pt idx="137">
                  <c:v>1168.3279966441073</c:v>
                </c:pt>
                <c:pt idx="138">
                  <c:v>1167.6964965042785</c:v>
                </c:pt>
                <c:pt idx="139">
                  <c:v>1167.0649963644496</c:v>
                </c:pt>
                <c:pt idx="140">
                  <c:v>1166.4334962246207</c:v>
                </c:pt>
                <c:pt idx="141">
                  <c:v>1165.8019960847919</c:v>
                </c:pt>
                <c:pt idx="142">
                  <c:v>1165.170495944963</c:v>
                </c:pt>
                <c:pt idx="143">
                  <c:v>1164.5389958051342</c:v>
                </c:pt>
                <c:pt idx="144">
                  <c:v>1163.9074956653053</c:v>
                </c:pt>
                <c:pt idx="145">
                  <c:v>1163.2759955254764</c:v>
                </c:pt>
                <c:pt idx="146">
                  <c:v>1162.6444953856476</c:v>
                </c:pt>
                <c:pt idx="147">
                  <c:v>1162.0129952458187</c:v>
                </c:pt>
                <c:pt idx="148">
                  <c:v>1161.3814951059899</c:v>
                </c:pt>
                <c:pt idx="149">
                  <c:v>1160.749994966161</c:v>
                </c:pt>
                <c:pt idx="150">
                  <c:v>1160.1184948263322</c:v>
                </c:pt>
                <c:pt idx="151">
                  <c:v>1159.4869946865033</c:v>
                </c:pt>
                <c:pt idx="152">
                  <c:v>1158.8554945466744</c:v>
                </c:pt>
                <c:pt idx="153">
                  <c:v>1158.2239944068456</c:v>
                </c:pt>
                <c:pt idx="154">
                  <c:v>1157.5924942670167</c:v>
                </c:pt>
                <c:pt idx="155">
                  <c:v>1156.9609941271879</c:v>
                </c:pt>
                <c:pt idx="156">
                  <c:v>1156.329493987359</c:v>
                </c:pt>
                <c:pt idx="157">
                  <c:v>1155.6979938475301</c:v>
                </c:pt>
                <c:pt idx="158">
                  <c:v>1155.0664937077013</c:v>
                </c:pt>
                <c:pt idx="159">
                  <c:v>1154.4349935678724</c:v>
                </c:pt>
                <c:pt idx="160">
                  <c:v>1153.8034934280436</c:v>
                </c:pt>
                <c:pt idx="161">
                  <c:v>1153.1719932882147</c:v>
                </c:pt>
                <c:pt idx="162">
                  <c:v>1152.5404931483858</c:v>
                </c:pt>
                <c:pt idx="163">
                  <c:v>1151.908993008557</c:v>
                </c:pt>
                <c:pt idx="164">
                  <c:v>1151.2774928687281</c:v>
                </c:pt>
                <c:pt idx="165">
                  <c:v>1150.6459927288993</c:v>
                </c:pt>
                <c:pt idx="166">
                  <c:v>1150.0144925890704</c:v>
                </c:pt>
                <c:pt idx="167">
                  <c:v>1148.2480675352372</c:v>
                </c:pt>
                <c:pt idx="168">
                  <c:v>1146.4816424814039</c:v>
                </c:pt>
                <c:pt idx="169">
                  <c:v>1144.7152174275707</c:v>
                </c:pt>
                <c:pt idx="170">
                  <c:v>1142.9487923737374</c:v>
                </c:pt>
                <c:pt idx="171">
                  <c:v>1141.1823673199042</c:v>
                </c:pt>
                <c:pt idx="172">
                  <c:v>1139.4159422660709</c:v>
                </c:pt>
                <c:pt idx="173">
                  <c:v>1137.6495172122377</c:v>
                </c:pt>
                <c:pt idx="174">
                  <c:v>1135.8830921584045</c:v>
                </c:pt>
                <c:pt idx="175">
                  <c:v>1134.1166671045712</c:v>
                </c:pt>
                <c:pt idx="176">
                  <c:v>1132.350242050738</c:v>
                </c:pt>
                <c:pt idx="177">
                  <c:v>1130.5838169969047</c:v>
                </c:pt>
                <c:pt idx="178">
                  <c:v>1128.8173919430715</c:v>
                </c:pt>
                <c:pt idx="179">
                  <c:v>1127.0509668892382</c:v>
                </c:pt>
                <c:pt idx="180">
                  <c:v>1125.284541835405</c:v>
                </c:pt>
                <c:pt idx="181">
                  <c:v>1123.5181167815717</c:v>
                </c:pt>
                <c:pt idx="182">
                  <c:v>1121.7516917277385</c:v>
                </c:pt>
                <c:pt idx="183">
                  <c:v>1119.9852666739052</c:v>
                </c:pt>
                <c:pt idx="184">
                  <c:v>1118.218841620072</c:v>
                </c:pt>
                <c:pt idx="185">
                  <c:v>1116.4524165662388</c:v>
                </c:pt>
                <c:pt idx="186">
                  <c:v>1114.6859915124055</c:v>
                </c:pt>
                <c:pt idx="187">
                  <c:v>1112.9195664585723</c:v>
                </c:pt>
                <c:pt idx="188">
                  <c:v>1111.153141404739</c:v>
                </c:pt>
                <c:pt idx="189">
                  <c:v>1109.3867163509058</c:v>
                </c:pt>
                <c:pt idx="190">
                  <c:v>1107.6202912970725</c:v>
                </c:pt>
                <c:pt idx="191">
                  <c:v>1105.8538662432393</c:v>
                </c:pt>
                <c:pt idx="192">
                  <c:v>1104.087441189406</c:v>
                </c:pt>
                <c:pt idx="193">
                  <c:v>1102.3210161355728</c:v>
                </c:pt>
                <c:pt idx="194">
                  <c:v>1100.5545910817395</c:v>
                </c:pt>
                <c:pt idx="195">
                  <c:v>1098.7881660279063</c:v>
                </c:pt>
                <c:pt idx="196">
                  <c:v>1097.0217409740731</c:v>
                </c:pt>
                <c:pt idx="197">
                  <c:v>1095.2553159202398</c:v>
                </c:pt>
                <c:pt idx="198">
                  <c:v>1093.4888908664066</c:v>
                </c:pt>
                <c:pt idx="199">
                  <c:v>1091.7224658125733</c:v>
                </c:pt>
                <c:pt idx="200">
                  <c:v>1089.9560407587401</c:v>
                </c:pt>
                <c:pt idx="201">
                  <c:v>1088.1896157049068</c:v>
                </c:pt>
                <c:pt idx="202">
                  <c:v>1086.4231906510736</c:v>
                </c:pt>
                <c:pt idx="203">
                  <c:v>1084.6567655972403</c:v>
                </c:pt>
                <c:pt idx="204">
                  <c:v>1082.8903405434071</c:v>
                </c:pt>
                <c:pt idx="205">
                  <c:v>1081.1239154895738</c:v>
                </c:pt>
                <c:pt idx="206">
                  <c:v>1079.3574904357406</c:v>
                </c:pt>
                <c:pt idx="207">
                  <c:v>1077.5910653819074</c:v>
                </c:pt>
                <c:pt idx="208">
                  <c:v>1075.8246403280741</c:v>
                </c:pt>
                <c:pt idx="209">
                  <c:v>1074.0582152742409</c:v>
                </c:pt>
                <c:pt idx="210">
                  <c:v>1072.2917902204076</c:v>
                </c:pt>
                <c:pt idx="211">
                  <c:v>1070.5253651665744</c:v>
                </c:pt>
                <c:pt idx="212">
                  <c:v>1068.7589401127411</c:v>
                </c:pt>
                <c:pt idx="213">
                  <c:v>1066.9925150589079</c:v>
                </c:pt>
                <c:pt idx="214">
                  <c:v>1065.2260900050746</c:v>
                </c:pt>
                <c:pt idx="215">
                  <c:v>1063.4596649512414</c:v>
                </c:pt>
                <c:pt idx="216">
                  <c:v>1061.6932398974081</c:v>
                </c:pt>
                <c:pt idx="217">
                  <c:v>1059.9268148435749</c:v>
                </c:pt>
                <c:pt idx="218">
                  <c:v>1058.1603897897417</c:v>
                </c:pt>
                <c:pt idx="219">
                  <c:v>1056.3939647359084</c:v>
                </c:pt>
                <c:pt idx="220">
                  <c:v>1054.6275396820752</c:v>
                </c:pt>
                <c:pt idx="221">
                  <c:v>1052.8611146282419</c:v>
                </c:pt>
                <c:pt idx="222">
                  <c:v>1051.0946895744087</c:v>
                </c:pt>
                <c:pt idx="223">
                  <c:v>1049.3282645205754</c:v>
                </c:pt>
                <c:pt idx="224">
                  <c:v>1047.5618394667422</c:v>
                </c:pt>
                <c:pt idx="225">
                  <c:v>1045.7954144129089</c:v>
                </c:pt>
                <c:pt idx="226">
                  <c:v>1044.0289893590757</c:v>
                </c:pt>
                <c:pt idx="227">
                  <c:v>1042.2625643052424</c:v>
                </c:pt>
                <c:pt idx="228">
                  <c:v>1040.4961392514092</c:v>
                </c:pt>
                <c:pt idx="229">
                  <c:v>1038.729714197576</c:v>
                </c:pt>
                <c:pt idx="230">
                  <c:v>1036.9632891437427</c:v>
                </c:pt>
                <c:pt idx="231">
                  <c:v>1035.1968640899095</c:v>
                </c:pt>
                <c:pt idx="232">
                  <c:v>1033.4304390360762</c:v>
                </c:pt>
                <c:pt idx="233">
                  <c:v>1031.664013982243</c:v>
                </c:pt>
                <c:pt idx="234">
                  <c:v>1029.8975889284097</c:v>
                </c:pt>
                <c:pt idx="235">
                  <c:v>1028.1311638745765</c:v>
                </c:pt>
                <c:pt idx="236">
                  <c:v>1026.3647388207432</c:v>
                </c:pt>
                <c:pt idx="237">
                  <c:v>1024.59831376691</c:v>
                </c:pt>
                <c:pt idx="238">
                  <c:v>1020.0886924489181</c:v>
                </c:pt>
                <c:pt idx="239">
                  <c:v>1015.5790711309262</c:v>
                </c:pt>
                <c:pt idx="240">
                  <c:v>1011.0694498129343</c:v>
                </c:pt>
                <c:pt idx="241">
                  <c:v>1006.5598284949424</c:v>
                </c:pt>
                <c:pt idx="242">
                  <c:v>1002.0502071769505</c:v>
                </c:pt>
                <c:pt idx="243">
                  <c:v>997.54058585895859</c:v>
                </c:pt>
                <c:pt idx="244">
                  <c:v>993.03096454096669</c:v>
                </c:pt>
                <c:pt idx="245">
                  <c:v>988.52134322297479</c:v>
                </c:pt>
                <c:pt idx="246">
                  <c:v>984.01172190498289</c:v>
                </c:pt>
                <c:pt idx="247">
                  <c:v>979.50210058699099</c:v>
                </c:pt>
                <c:pt idx="248">
                  <c:v>974.99247926899909</c:v>
                </c:pt>
                <c:pt idx="249">
                  <c:v>929.62900000000002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Hydraulics!$AS$4:$AS$253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1077.3296049700054</c:v>
                </c:pt>
                <c:pt idx="2">
                  <c:v>1075.6412099400109</c:v>
                </c:pt>
                <c:pt idx="3">
                  <c:v>1123.9528149100163</c:v>
                </c:pt>
                <c:pt idx="4">
                  <c:v>1122.2644198800217</c:v>
                </c:pt>
                <c:pt idx="5">
                  <c:v>1120.5760248500271</c:v>
                </c:pt>
                <c:pt idx="6">
                  <c:v>1118.8876298200325</c:v>
                </c:pt>
                <c:pt idx="7">
                  <c:v>1117.199234790038</c:v>
                </c:pt>
                <c:pt idx="8">
                  <c:v>1115.5108397600434</c:v>
                </c:pt>
                <c:pt idx="9">
                  <c:v>1113.8224447300488</c:v>
                </c:pt>
                <c:pt idx="10">
                  <c:v>1111.67</c:v>
                </c:pt>
                <c:pt idx="11">
                  <c:v>1109.9816049700055</c:v>
                </c:pt>
                <c:pt idx="12">
                  <c:v>1108.2932099400109</c:v>
                </c:pt>
                <c:pt idx="13">
                  <c:v>1106.6048149100163</c:v>
                </c:pt>
                <c:pt idx="14">
                  <c:v>1104.9164198800217</c:v>
                </c:pt>
                <c:pt idx="15">
                  <c:v>1103.2280248500272</c:v>
                </c:pt>
                <c:pt idx="16">
                  <c:v>1101.5396298200326</c:v>
                </c:pt>
                <c:pt idx="17">
                  <c:v>1099.851234790038</c:v>
                </c:pt>
                <c:pt idx="18">
                  <c:v>1098.1628397600434</c:v>
                </c:pt>
                <c:pt idx="19">
                  <c:v>1096.4744447300488</c:v>
                </c:pt>
                <c:pt idx="20">
                  <c:v>1094.7860497000543</c:v>
                </c:pt>
                <c:pt idx="21">
                  <c:v>1093.0976546700597</c:v>
                </c:pt>
                <c:pt idx="22">
                  <c:v>1091.4092596400651</c:v>
                </c:pt>
                <c:pt idx="23">
                  <c:v>1089.7208646100705</c:v>
                </c:pt>
                <c:pt idx="24">
                  <c:v>1088.0324695800759</c:v>
                </c:pt>
                <c:pt idx="25">
                  <c:v>1086.3440745500814</c:v>
                </c:pt>
                <c:pt idx="26">
                  <c:v>1084.6556795200868</c:v>
                </c:pt>
                <c:pt idx="27">
                  <c:v>1082.9672844900922</c:v>
                </c:pt>
                <c:pt idx="28">
                  <c:v>1081.2788894600976</c:v>
                </c:pt>
                <c:pt idx="29">
                  <c:v>1079.590494430103</c:v>
                </c:pt>
                <c:pt idx="30">
                  <c:v>1077.9020994001085</c:v>
                </c:pt>
                <c:pt idx="31">
                  <c:v>1076.2137043701139</c:v>
                </c:pt>
                <c:pt idx="32">
                  <c:v>1074.5253093401193</c:v>
                </c:pt>
                <c:pt idx="33">
                  <c:v>1072.8369143101247</c:v>
                </c:pt>
                <c:pt idx="34">
                  <c:v>1071.1485192801301</c:v>
                </c:pt>
                <c:pt idx="35">
                  <c:v>1069.4601242501356</c:v>
                </c:pt>
                <c:pt idx="36">
                  <c:v>1067.771729220141</c:v>
                </c:pt>
                <c:pt idx="37">
                  <c:v>1066.0833341901464</c:v>
                </c:pt>
                <c:pt idx="38">
                  <c:v>1064.3949391601518</c:v>
                </c:pt>
                <c:pt idx="39">
                  <c:v>1062.7065441301572</c:v>
                </c:pt>
                <c:pt idx="40">
                  <c:v>1061.0181491001626</c:v>
                </c:pt>
                <c:pt idx="41">
                  <c:v>1059.3297540701681</c:v>
                </c:pt>
                <c:pt idx="42">
                  <c:v>1057.6413590401735</c:v>
                </c:pt>
                <c:pt idx="43">
                  <c:v>1055.9529640101789</c:v>
                </c:pt>
                <c:pt idx="44">
                  <c:v>1054.2645689801843</c:v>
                </c:pt>
                <c:pt idx="45">
                  <c:v>1052.5761739501897</c:v>
                </c:pt>
                <c:pt idx="46">
                  <c:v>1050.8877789201952</c:v>
                </c:pt>
                <c:pt idx="47">
                  <c:v>1049.1993838902006</c:v>
                </c:pt>
                <c:pt idx="48">
                  <c:v>1047.510988860206</c:v>
                </c:pt>
                <c:pt idx="49">
                  <c:v>1045.8225938302114</c:v>
                </c:pt>
                <c:pt idx="50">
                  <c:v>1044.1341988002168</c:v>
                </c:pt>
                <c:pt idx="51">
                  <c:v>1042.4458037702223</c:v>
                </c:pt>
                <c:pt idx="52">
                  <c:v>1040.7574087402277</c:v>
                </c:pt>
                <c:pt idx="53">
                  <c:v>1039.0690137102331</c:v>
                </c:pt>
                <c:pt idx="54">
                  <c:v>1037.3806186802385</c:v>
                </c:pt>
                <c:pt idx="55">
                  <c:v>1035.6922236502439</c:v>
                </c:pt>
                <c:pt idx="56">
                  <c:v>1034.0038286202494</c:v>
                </c:pt>
                <c:pt idx="57">
                  <c:v>1032.3154335902548</c:v>
                </c:pt>
                <c:pt idx="58">
                  <c:v>1030.6270385602602</c:v>
                </c:pt>
                <c:pt idx="59">
                  <c:v>1028.9386435302656</c:v>
                </c:pt>
                <c:pt idx="60">
                  <c:v>1027.250248500271</c:v>
                </c:pt>
                <c:pt idx="61">
                  <c:v>1025.5618534702764</c:v>
                </c:pt>
                <c:pt idx="62">
                  <c:v>1023.873458440282</c:v>
                </c:pt>
                <c:pt idx="63">
                  <c:v>1022.1850634102875</c:v>
                </c:pt>
                <c:pt idx="64">
                  <c:v>1020.496668380293</c:v>
                </c:pt>
                <c:pt idx="65">
                  <c:v>1018.8082733502986</c:v>
                </c:pt>
                <c:pt idx="66">
                  <c:v>1017.1198783203041</c:v>
                </c:pt>
                <c:pt idx="67">
                  <c:v>1015.4314832903096</c:v>
                </c:pt>
                <c:pt idx="68">
                  <c:v>1013.7430882603152</c:v>
                </c:pt>
                <c:pt idx="69">
                  <c:v>1012.0546932303207</c:v>
                </c:pt>
                <c:pt idx="70">
                  <c:v>1010.3662982003262</c:v>
                </c:pt>
                <c:pt idx="71">
                  <c:v>1008.6779031703318</c:v>
                </c:pt>
                <c:pt idx="72">
                  <c:v>1006.9895081403373</c:v>
                </c:pt>
                <c:pt idx="73">
                  <c:v>1005.3011131103428</c:v>
                </c:pt>
                <c:pt idx="74">
                  <c:v>1003.6127180803484</c:v>
                </c:pt>
                <c:pt idx="75">
                  <c:v>1001.9243230503539</c:v>
                </c:pt>
                <c:pt idx="76">
                  <c:v>1000.2359280203594</c:v>
                </c:pt>
                <c:pt idx="77">
                  <c:v>998.54753299036497</c:v>
                </c:pt>
                <c:pt idx="78">
                  <c:v>996.8591379603705</c:v>
                </c:pt>
                <c:pt idx="79">
                  <c:v>995.17074293037604</c:v>
                </c:pt>
                <c:pt idx="80">
                  <c:v>993.48234790038157</c:v>
                </c:pt>
                <c:pt idx="81">
                  <c:v>991.24930318963163</c:v>
                </c:pt>
                <c:pt idx="82">
                  <c:v>989.0162584788817</c:v>
                </c:pt>
                <c:pt idx="83">
                  <c:v>986.78321376813176</c:v>
                </c:pt>
                <c:pt idx="84">
                  <c:v>984.55016905738182</c:v>
                </c:pt>
                <c:pt idx="85">
                  <c:v>982.31712434663189</c:v>
                </c:pt>
                <c:pt idx="86">
                  <c:v>980.08407963588195</c:v>
                </c:pt>
                <c:pt idx="87">
                  <c:v>977.85103492513201</c:v>
                </c:pt>
                <c:pt idx="88">
                  <c:v>975.61799021438208</c:v>
                </c:pt>
                <c:pt idx="89">
                  <c:v>973.38494550363214</c:v>
                </c:pt>
                <c:pt idx="90">
                  <c:v>971.1519007928822</c:v>
                </c:pt>
                <c:pt idx="91">
                  <c:v>968.91885608213227</c:v>
                </c:pt>
                <c:pt idx="92">
                  <c:v>966.68581137138233</c:v>
                </c:pt>
                <c:pt idx="93">
                  <c:v>964.45276666063239</c:v>
                </c:pt>
                <c:pt idx="94">
                  <c:v>962.21972194988246</c:v>
                </c:pt>
                <c:pt idx="95">
                  <c:v>959.98667723913252</c:v>
                </c:pt>
                <c:pt idx="96">
                  <c:v>957.75363252838258</c:v>
                </c:pt>
                <c:pt idx="97">
                  <c:v>955.52058781763265</c:v>
                </c:pt>
                <c:pt idx="98">
                  <c:v>953.28754310688271</c:v>
                </c:pt>
                <c:pt idx="99">
                  <c:v>951.05449839613277</c:v>
                </c:pt>
                <c:pt idx="100">
                  <c:v>948.82145368538283</c:v>
                </c:pt>
                <c:pt idx="101">
                  <c:v>946.5884089746329</c:v>
                </c:pt>
                <c:pt idx="102">
                  <c:v>944.35536426388296</c:v>
                </c:pt>
                <c:pt idx="103">
                  <c:v>942.12231955313302</c:v>
                </c:pt>
                <c:pt idx="104">
                  <c:v>939.88927484238309</c:v>
                </c:pt>
                <c:pt idx="105">
                  <c:v>937.65623013163315</c:v>
                </c:pt>
                <c:pt idx="106">
                  <c:v>935.42318542088321</c:v>
                </c:pt>
                <c:pt idx="107">
                  <c:v>933.19014071013328</c:v>
                </c:pt>
                <c:pt idx="108">
                  <c:v>930.95709599938334</c:v>
                </c:pt>
                <c:pt idx="109">
                  <c:v>928.7240512886334</c:v>
                </c:pt>
                <c:pt idx="110">
                  <c:v>926.49100657788347</c:v>
                </c:pt>
                <c:pt idx="111">
                  <c:v>924.25796186713353</c:v>
                </c:pt>
                <c:pt idx="112">
                  <c:v>922.96265190596637</c:v>
                </c:pt>
                <c:pt idx="113">
                  <c:v>1043.4839999999999</c:v>
                </c:pt>
                <c:pt idx="114">
                  <c:v>1182.6919505993217</c:v>
                </c:pt>
                <c:pt idx="115">
                  <c:v>1181.8999011986434</c:v>
                </c:pt>
                <c:pt idx="116">
                  <c:v>1181.1078517979652</c:v>
                </c:pt>
                <c:pt idx="117">
                  <c:v>1180.3158023972869</c:v>
                </c:pt>
                <c:pt idx="118">
                  <c:v>1179.5237529966087</c:v>
                </c:pt>
                <c:pt idx="119">
                  <c:v>1178.7317035959304</c:v>
                </c:pt>
                <c:pt idx="120">
                  <c:v>1177.9396541952522</c:v>
                </c:pt>
                <c:pt idx="121">
                  <c:v>1177.1476047945739</c:v>
                </c:pt>
                <c:pt idx="122">
                  <c:v>1176.3555553938957</c:v>
                </c:pt>
                <c:pt idx="123">
                  <c:v>1175.5635059932174</c:v>
                </c:pt>
                <c:pt idx="124">
                  <c:v>1174.7714565925392</c:v>
                </c:pt>
                <c:pt idx="125">
                  <c:v>1173.9794071918609</c:v>
                </c:pt>
                <c:pt idx="126">
                  <c:v>1173.1873577911826</c:v>
                </c:pt>
                <c:pt idx="127">
                  <c:v>1172.3953083905044</c:v>
                </c:pt>
                <c:pt idx="128">
                  <c:v>1171.6032589898261</c:v>
                </c:pt>
                <c:pt idx="129">
                  <c:v>1170.8112095891479</c:v>
                </c:pt>
                <c:pt idx="130">
                  <c:v>1170.0191601884696</c:v>
                </c:pt>
                <c:pt idx="131">
                  <c:v>1169.2271107877914</c:v>
                </c:pt>
                <c:pt idx="132">
                  <c:v>1168.4350613871131</c:v>
                </c:pt>
                <c:pt idx="133">
                  <c:v>1167.6430119864349</c:v>
                </c:pt>
                <c:pt idx="134">
                  <c:v>1166.8509625857566</c:v>
                </c:pt>
                <c:pt idx="135">
                  <c:v>1166.0589131850784</c:v>
                </c:pt>
                <c:pt idx="136">
                  <c:v>1165.2668637844001</c:v>
                </c:pt>
                <c:pt idx="137">
                  <c:v>1164.4748143837219</c:v>
                </c:pt>
                <c:pt idx="138">
                  <c:v>1163.6827649830436</c:v>
                </c:pt>
                <c:pt idx="139">
                  <c:v>1162.8907155823654</c:v>
                </c:pt>
                <c:pt idx="140">
                  <c:v>1162.0986661816871</c:v>
                </c:pt>
                <c:pt idx="141">
                  <c:v>1161.3066167810089</c:v>
                </c:pt>
                <c:pt idx="142">
                  <c:v>1160.5145673803306</c:v>
                </c:pt>
                <c:pt idx="143">
                  <c:v>1159.7225179796524</c:v>
                </c:pt>
                <c:pt idx="144">
                  <c:v>1158.9304685789741</c:v>
                </c:pt>
                <c:pt idx="145">
                  <c:v>1158.1384191782959</c:v>
                </c:pt>
                <c:pt idx="146">
                  <c:v>1157.3463697776176</c:v>
                </c:pt>
                <c:pt idx="147">
                  <c:v>1156.5543203769394</c:v>
                </c:pt>
                <c:pt idx="148">
                  <c:v>1155.7622709762611</c:v>
                </c:pt>
                <c:pt idx="149">
                  <c:v>1154.9702215755829</c:v>
                </c:pt>
                <c:pt idx="150">
                  <c:v>1154.1781721749046</c:v>
                </c:pt>
                <c:pt idx="151">
                  <c:v>1153.3861227742264</c:v>
                </c:pt>
                <c:pt idx="152">
                  <c:v>1152.5940733735481</c:v>
                </c:pt>
                <c:pt idx="153">
                  <c:v>1151.8020239728698</c:v>
                </c:pt>
                <c:pt idx="154">
                  <c:v>1151.0099745721916</c:v>
                </c:pt>
                <c:pt idx="155">
                  <c:v>1150.2179251715133</c:v>
                </c:pt>
                <c:pt idx="156">
                  <c:v>1149.4258757708351</c:v>
                </c:pt>
                <c:pt idx="157">
                  <c:v>1148.6338263701568</c:v>
                </c:pt>
                <c:pt idx="158">
                  <c:v>1147.8417769694786</c:v>
                </c:pt>
                <c:pt idx="159">
                  <c:v>1147.0497275688003</c:v>
                </c:pt>
                <c:pt idx="160">
                  <c:v>1146.2576781681221</c:v>
                </c:pt>
                <c:pt idx="161">
                  <c:v>1145.4656287674438</c:v>
                </c:pt>
                <c:pt idx="162">
                  <c:v>1144.6735793667656</c:v>
                </c:pt>
                <c:pt idx="163">
                  <c:v>1143.8815299660873</c:v>
                </c:pt>
                <c:pt idx="164">
                  <c:v>1143.0894805654091</c:v>
                </c:pt>
                <c:pt idx="165">
                  <c:v>1142.2974311647308</c:v>
                </c:pt>
                <c:pt idx="166">
                  <c:v>1141.5053817640526</c:v>
                </c:pt>
                <c:pt idx="167">
                  <c:v>1139.2723370533026</c:v>
                </c:pt>
                <c:pt idx="168">
                  <c:v>1137.0392923425527</c:v>
                </c:pt>
                <c:pt idx="169">
                  <c:v>1134.8062476318028</c:v>
                </c:pt>
                <c:pt idx="170">
                  <c:v>1132.5732029210528</c:v>
                </c:pt>
                <c:pt idx="171">
                  <c:v>1130.3401582103029</c:v>
                </c:pt>
                <c:pt idx="172">
                  <c:v>1128.107113499553</c:v>
                </c:pt>
                <c:pt idx="173">
                  <c:v>1125.874068788803</c:v>
                </c:pt>
                <c:pt idx="174">
                  <c:v>1123.6410240780531</c:v>
                </c:pt>
                <c:pt idx="175">
                  <c:v>1121.4079793673031</c:v>
                </c:pt>
                <c:pt idx="176">
                  <c:v>1119.1749346565532</c:v>
                </c:pt>
                <c:pt idx="177">
                  <c:v>1116.9418899458033</c:v>
                </c:pt>
                <c:pt idx="178">
                  <c:v>1114.7088452350533</c:v>
                </c:pt>
                <c:pt idx="179">
                  <c:v>1112.4758005243034</c:v>
                </c:pt>
                <c:pt idx="180">
                  <c:v>1110.2427558135535</c:v>
                </c:pt>
                <c:pt idx="181">
                  <c:v>1108.0097111028035</c:v>
                </c:pt>
                <c:pt idx="182">
                  <c:v>1105.7766663920536</c:v>
                </c:pt>
                <c:pt idx="183">
                  <c:v>1103.5436216813036</c:v>
                </c:pt>
                <c:pt idx="184">
                  <c:v>1101.3105769705537</c:v>
                </c:pt>
                <c:pt idx="185">
                  <c:v>1099.0775322598038</c:v>
                </c:pt>
                <c:pt idx="186">
                  <c:v>1096.8444875490538</c:v>
                </c:pt>
                <c:pt idx="187">
                  <c:v>1094.6114428383039</c:v>
                </c:pt>
                <c:pt idx="188">
                  <c:v>1092.378398127554</c:v>
                </c:pt>
                <c:pt idx="189">
                  <c:v>1090.145353416804</c:v>
                </c:pt>
                <c:pt idx="190">
                  <c:v>1087.9123087060541</c:v>
                </c:pt>
                <c:pt idx="191">
                  <c:v>1085.6792639953042</c:v>
                </c:pt>
                <c:pt idx="192">
                  <c:v>1083.4462192845542</c:v>
                </c:pt>
                <c:pt idx="193">
                  <c:v>1081.2131745738043</c:v>
                </c:pt>
                <c:pt idx="194">
                  <c:v>1078.9801298630543</c:v>
                </c:pt>
                <c:pt idx="195">
                  <c:v>1076.7470851523044</c:v>
                </c:pt>
                <c:pt idx="196">
                  <c:v>1074.5140404415545</c:v>
                </c:pt>
                <c:pt idx="197">
                  <c:v>1072.2809957308045</c:v>
                </c:pt>
                <c:pt idx="198">
                  <c:v>1070.0479510200546</c:v>
                </c:pt>
                <c:pt idx="199">
                  <c:v>1067.8149063093047</c:v>
                </c:pt>
                <c:pt idx="200">
                  <c:v>1065.5818615985547</c:v>
                </c:pt>
                <c:pt idx="201">
                  <c:v>1063.3488168878048</c:v>
                </c:pt>
                <c:pt idx="202">
                  <c:v>1061.1157721770549</c:v>
                </c:pt>
                <c:pt idx="203">
                  <c:v>1058.8827274663049</c:v>
                </c:pt>
                <c:pt idx="204">
                  <c:v>1056.649682755555</c:v>
                </c:pt>
                <c:pt idx="205">
                  <c:v>1054.416638044805</c:v>
                </c:pt>
                <c:pt idx="206">
                  <c:v>1052.1835933340551</c:v>
                </c:pt>
                <c:pt idx="207">
                  <c:v>1049.9505486233052</c:v>
                </c:pt>
                <c:pt idx="208">
                  <c:v>1047.7175039125552</c:v>
                </c:pt>
                <c:pt idx="209">
                  <c:v>1045.4844592018053</c:v>
                </c:pt>
                <c:pt idx="210">
                  <c:v>1043.2514144910554</c:v>
                </c:pt>
                <c:pt idx="211">
                  <c:v>1041.0183697803054</c:v>
                </c:pt>
                <c:pt idx="212">
                  <c:v>1038.7853250695555</c:v>
                </c:pt>
                <c:pt idx="213">
                  <c:v>1036.5522803588055</c:v>
                </c:pt>
                <c:pt idx="214">
                  <c:v>1034.3192356480556</c:v>
                </c:pt>
                <c:pt idx="215">
                  <c:v>1032.0861909373057</c:v>
                </c:pt>
                <c:pt idx="216">
                  <c:v>1029.8531462265557</c:v>
                </c:pt>
                <c:pt idx="217">
                  <c:v>1027.6201015158058</c:v>
                </c:pt>
                <c:pt idx="218">
                  <c:v>1025.3870568050559</c:v>
                </c:pt>
                <c:pt idx="219">
                  <c:v>1023.1540120943059</c:v>
                </c:pt>
                <c:pt idx="220">
                  <c:v>1020.920967383556</c:v>
                </c:pt>
                <c:pt idx="221">
                  <c:v>1018.6879226728061</c:v>
                </c:pt>
                <c:pt idx="222">
                  <c:v>1016.4548779620561</c:v>
                </c:pt>
                <c:pt idx="223">
                  <c:v>1014.2218332513062</c:v>
                </c:pt>
                <c:pt idx="224">
                  <c:v>1011.9887885405562</c:v>
                </c:pt>
                <c:pt idx="225">
                  <c:v>1009.7557438298063</c:v>
                </c:pt>
                <c:pt idx="226">
                  <c:v>1007.5226991190564</c:v>
                </c:pt>
                <c:pt idx="227">
                  <c:v>1005.2896544083064</c:v>
                </c:pt>
                <c:pt idx="228">
                  <c:v>1003.0566096975565</c:v>
                </c:pt>
                <c:pt idx="229">
                  <c:v>1000.8235649868066</c:v>
                </c:pt>
                <c:pt idx="230">
                  <c:v>998.59052027605662</c:v>
                </c:pt>
                <c:pt idx="231">
                  <c:v>996.35747556530669</c:v>
                </c:pt>
                <c:pt idx="232">
                  <c:v>994.12443085455675</c:v>
                </c:pt>
                <c:pt idx="233">
                  <c:v>991.89138614380681</c:v>
                </c:pt>
                <c:pt idx="234">
                  <c:v>989.65834143305688</c:v>
                </c:pt>
                <c:pt idx="235">
                  <c:v>987.42529672230694</c:v>
                </c:pt>
                <c:pt idx="236">
                  <c:v>985.192252011557</c:v>
                </c:pt>
                <c:pt idx="237">
                  <c:v>982.95920730080707</c:v>
                </c:pt>
                <c:pt idx="238">
                  <c:v>977.21727131977457</c:v>
                </c:pt>
                <c:pt idx="239">
                  <c:v>971.47533533874207</c:v>
                </c:pt>
                <c:pt idx="240">
                  <c:v>965.73339935770957</c:v>
                </c:pt>
                <c:pt idx="241">
                  <c:v>959.99146337667707</c:v>
                </c:pt>
                <c:pt idx="242">
                  <c:v>954.24952739564458</c:v>
                </c:pt>
                <c:pt idx="243">
                  <c:v>948.50759141461208</c:v>
                </c:pt>
                <c:pt idx="244">
                  <c:v>942.76565543357958</c:v>
                </c:pt>
                <c:pt idx="245">
                  <c:v>937.02371945254708</c:v>
                </c:pt>
                <c:pt idx="246">
                  <c:v>931.28178347151459</c:v>
                </c:pt>
                <c:pt idx="247">
                  <c:v>925.53984749048209</c:v>
                </c:pt>
                <c:pt idx="248">
                  <c:v>919.79791150944959</c:v>
                </c:pt>
                <c:pt idx="249">
                  <c:v>929.62900000000002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  <c:pt idx="1">
                  <c:v>228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913.48400000000004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Hydraulics!$B$11:$B$16</c:f>
              <c:numCache>
                <c:formatCode>General</c:formatCode>
                <c:ptCount val="6"/>
                <c:pt idx="0">
                  <c:v>2</c:v>
                </c:pt>
                <c:pt idx="1">
                  <c:v>22</c:v>
                </c:pt>
                <c:pt idx="2">
                  <c:v>228</c:v>
                </c:pt>
                <c:pt idx="4">
                  <c:v>330</c:v>
                </c:pt>
                <c:pt idx="5">
                  <c:v>500</c:v>
                </c:pt>
              </c:numCache>
            </c:numRef>
          </c:xVal>
          <c:yVal>
            <c:numRef>
              <c:f>Hydraulics!$C$11:$C$16</c:f>
              <c:numCache>
                <c:formatCode>General</c:formatCode>
                <c:ptCount val="6"/>
                <c:pt idx="0">
                  <c:v>1079.018</c:v>
                </c:pt>
                <c:pt idx="1">
                  <c:v>1111.67</c:v>
                </c:pt>
                <c:pt idx="2">
                  <c:v>923.48400000000004</c:v>
                </c:pt>
                <c:pt idx="4">
                  <c:v>1146.405</c:v>
                </c:pt>
                <c:pt idx="5">
                  <c:v>929.62900000000002</c:v>
                </c:pt>
              </c:numCache>
            </c:numRef>
          </c:yVal>
        </c:ser>
        <c:axId val="90952832"/>
        <c:axId val="90955136"/>
      </c:scatterChart>
      <c:valAx>
        <c:axId val="90952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955136"/>
        <c:crosses val="autoZero"/>
        <c:crossBetween val="midCat"/>
      </c:valAx>
      <c:valAx>
        <c:axId val="90955136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95283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D21" sqref="D21"/>
    </sheetView>
  </sheetViews>
  <sheetFormatPr defaultRowHeight="15"/>
  <cols>
    <col min="1" max="1" width="13.42578125" style="59" bestFit="1" customWidth="1"/>
    <col min="2" max="3" width="9.140625" style="59"/>
    <col min="4" max="4" width="17.42578125" style="59" bestFit="1" customWidth="1"/>
    <col min="5" max="16384" width="9.140625" style="59"/>
  </cols>
  <sheetData>
    <row r="1" spans="1:4">
      <c r="A1" s="80" t="s">
        <v>99</v>
      </c>
      <c r="B1" s="80"/>
      <c r="C1" s="80"/>
      <c r="D1" s="80"/>
    </row>
    <row r="2" spans="1:4">
      <c r="A2" s="72" t="s">
        <v>69</v>
      </c>
      <c r="B2" s="72" t="s">
        <v>70</v>
      </c>
      <c r="C2" s="79" t="s">
        <v>71</v>
      </c>
      <c r="D2" s="79"/>
    </row>
    <row r="3" spans="1:4">
      <c r="A3" s="60" t="s">
        <v>72</v>
      </c>
      <c r="B3" s="60" t="s">
        <v>73</v>
      </c>
      <c r="C3" s="60">
        <v>1.9</v>
      </c>
      <c r="D3" s="60" t="s">
        <v>74</v>
      </c>
    </row>
    <row r="4" spans="1:4">
      <c r="A4" s="60" t="s">
        <v>68</v>
      </c>
      <c r="B4" s="60">
        <v>8</v>
      </c>
      <c r="C4" s="60">
        <v>50</v>
      </c>
      <c r="D4" s="60" t="s">
        <v>80</v>
      </c>
    </row>
    <row r="5" spans="1:4">
      <c r="A5" s="60" t="s">
        <v>72</v>
      </c>
      <c r="B5" s="73" t="s">
        <v>82</v>
      </c>
      <c r="C5" s="60">
        <v>1.9</v>
      </c>
      <c r="D5" s="60" t="s">
        <v>74</v>
      </c>
    </row>
    <row r="6" spans="1:4">
      <c r="A6" s="60" t="s">
        <v>77</v>
      </c>
      <c r="B6" s="60">
        <v>22</v>
      </c>
      <c r="C6" s="60">
        <v>10</v>
      </c>
      <c r="D6" s="60" t="s">
        <v>83</v>
      </c>
    </row>
    <row r="7" spans="1:4">
      <c r="A7" s="60" t="s">
        <v>72</v>
      </c>
      <c r="B7" s="60" t="s">
        <v>90</v>
      </c>
      <c r="C7" s="60">
        <v>1.9</v>
      </c>
      <c r="D7" s="60" t="s">
        <v>74</v>
      </c>
    </row>
    <row r="8" spans="1:4">
      <c r="A8" s="60" t="s">
        <v>72</v>
      </c>
      <c r="B8" s="60" t="s">
        <v>86</v>
      </c>
      <c r="C8" s="60">
        <v>1.8</v>
      </c>
      <c r="D8" s="60" t="s">
        <v>74</v>
      </c>
    </row>
    <row r="9" spans="1:4">
      <c r="A9" s="60" t="s">
        <v>72</v>
      </c>
      <c r="B9" s="60" t="s">
        <v>87</v>
      </c>
      <c r="C9" s="60">
        <v>2</v>
      </c>
      <c r="D9" s="60" t="s">
        <v>74</v>
      </c>
    </row>
    <row r="10" spans="1:4">
      <c r="A10" s="60" t="s">
        <v>77</v>
      </c>
      <c r="B10" s="60">
        <v>228</v>
      </c>
      <c r="C10" s="60">
        <v>10</v>
      </c>
      <c r="D10" s="60" t="s">
        <v>78</v>
      </c>
    </row>
    <row r="11" spans="1:4">
      <c r="A11" s="60" t="s">
        <v>68</v>
      </c>
      <c r="B11" s="60">
        <v>228</v>
      </c>
      <c r="C11" s="60">
        <v>120</v>
      </c>
      <c r="D11" s="60" t="s">
        <v>80</v>
      </c>
    </row>
    <row r="12" spans="1:4">
      <c r="A12" s="60" t="s">
        <v>72</v>
      </c>
      <c r="B12" s="60" t="s">
        <v>88</v>
      </c>
      <c r="C12" s="60">
        <v>2</v>
      </c>
      <c r="D12" s="60" t="s">
        <v>79</v>
      </c>
    </row>
    <row r="13" spans="1:4">
      <c r="A13" s="60" t="s">
        <v>72</v>
      </c>
      <c r="B13" s="60" t="s">
        <v>89</v>
      </c>
      <c r="C13" s="60">
        <v>2</v>
      </c>
      <c r="D13" s="60" t="s">
        <v>79</v>
      </c>
    </row>
    <row r="14" spans="1:4">
      <c r="A14" s="60" t="s">
        <v>92</v>
      </c>
      <c r="B14" s="60">
        <v>330</v>
      </c>
      <c r="C14" s="60">
        <v>10</v>
      </c>
      <c r="D14" s="60" t="s">
        <v>78</v>
      </c>
    </row>
    <row r="15" spans="1:4">
      <c r="A15" s="60" t="s">
        <v>72</v>
      </c>
      <c r="B15" s="60" t="s">
        <v>93</v>
      </c>
      <c r="C15" s="60">
        <v>1.8</v>
      </c>
      <c r="D15" s="60" t="s">
        <v>79</v>
      </c>
    </row>
    <row r="16" spans="1:4">
      <c r="A16" s="60" t="s">
        <v>72</v>
      </c>
      <c r="B16" s="60" t="s">
        <v>94</v>
      </c>
      <c r="C16" s="60">
        <v>1.5</v>
      </c>
      <c r="D16" s="60" t="s">
        <v>79</v>
      </c>
    </row>
    <row r="27" spans="9:9">
      <c r="I27" s="59" t="s">
        <v>95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A40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F32" sqref="F32"/>
    </sheetView>
  </sheetViews>
  <sheetFormatPr defaultRowHeight="15"/>
  <cols>
    <col min="1" max="1" width="19.5703125" style="59" bestFit="1" customWidth="1"/>
    <col min="2" max="16384" width="9.140625" style="59"/>
  </cols>
  <sheetData>
    <row r="1" spans="1:3">
      <c r="A1" s="81" t="s">
        <v>26</v>
      </c>
      <c r="B1" s="81"/>
    </row>
    <row r="2" spans="1:3" ht="18">
      <c r="A2" s="60" t="s">
        <v>22</v>
      </c>
      <c r="B2" s="61">
        <v>0.03</v>
      </c>
    </row>
    <row r="3" spans="1:3" ht="18">
      <c r="A3" s="60" t="s">
        <v>23</v>
      </c>
      <c r="B3" s="61">
        <v>0.06</v>
      </c>
    </row>
    <row r="4" spans="1:3" ht="18">
      <c r="A4" s="60" t="s">
        <v>24</v>
      </c>
      <c r="B4" s="61">
        <v>0.15</v>
      </c>
    </row>
    <row r="5" spans="1:3" ht="18">
      <c r="A5" s="60" t="s">
        <v>25</v>
      </c>
      <c r="B5" s="61">
        <v>0.5</v>
      </c>
    </row>
    <row r="7" spans="1:3" ht="17.25">
      <c r="A7" s="14" t="s">
        <v>28</v>
      </c>
      <c r="B7" s="62">
        <v>1.13E-6</v>
      </c>
      <c r="C7" s="60" t="s">
        <v>29</v>
      </c>
    </row>
    <row r="9" spans="1:3">
      <c r="A9" s="14" t="s">
        <v>30</v>
      </c>
      <c r="B9" s="61">
        <v>150</v>
      </c>
    </row>
    <row r="11" spans="1:3">
      <c r="A11" s="63" t="s">
        <v>59</v>
      </c>
      <c r="B11" s="61" t="s">
        <v>60</v>
      </c>
      <c r="C11" s="60"/>
    </row>
    <row r="12" spans="1:3">
      <c r="A12" s="63" t="s">
        <v>61</v>
      </c>
      <c r="B12" s="61">
        <v>300</v>
      </c>
      <c r="C12" s="60" t="s">
        <v>62</v>
      </c>
    </row>
    <row r="13" spans="1:3">
      <c r="A13" s="63" t="s">
        <v>63</v>
      </c>
      <c r="B13" s="64">
        <v>0.5</v>
      </c>
      <c r="C13" s="60"/>
    </row>
    <row r="14" spans="1:3">
      <c r="A14" s="63" t="s">
        <v>64</v>
      </c>
      <c r="B14" s="61">
        <v>160</v>
      </c>
      <c r="C14" s="60" t="s">
        <v>66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255"/>
  <sheetViews>
    <sheetView workbookViewId="0">
      <selection activeCell="B23" sqref="B23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85" t="s">
        <v>97</v>
      </c>
      <c r="B1" s="85"/>
      <c r="C1" s="85"/>
      <c r="D1" s="86"/>
      <c r="E1" s="82" t="str">
        <f>A1</f>
        <v>Option 5B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/>
      <c r="R1" s="82" t="str">
        <f>E1</f>
        <v>Option 5B</v>
      </c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4"/>
    </row>
    <row r="2" spans="1:45">
      <c r="A2" s="87" t="s">
        <v>13</v>
      </c>
      <c r="B2" s="88"/>
      <c r="C2" s="88"/>
      <c r="D2" s="89"/>
      <c r="E2" s="90" t="s">
        <v>14</v>
      </c>
      <c r="F2" s="91"/>
      <c r="G2" s="91"/>
      <c r="H2" s="91"/>
      <c r="I2" s="91"/>
      <c r="J2" s="91"/>
      <c r="K2" s="91"/>
      <c r="L2" s="91"/>
      <c r="M2" s="91"/>
      <c r="N2" s="92"/>
      <c r="O2" s="90" t="s">
        <v>57</v>
      </c>
      <c r="P2" s="91"/>
      <c r="Q2" s="92"/>
      <c r="R2" s="53" t="s">
        <v>50</v>
      </c>
      <c r="S2" s="32"/>
      <c r="T2" s="32"/>
      <c r="U2" s="32"/>
      <c r="V2" s="32"/>
      <c r="W2" s="32"/>
      <c r="X2" s="33"/>
      <c r="Y2" s="93" t="s">
        <v>47</v>
      </c>
      <c r="Z2" s="94"/>
      <c r="AA2" s="94"/>
      <c r="AB2" s="94"/>
      <c r="AC2" s="94"/>
      <c r="AD2" s="94"/>
      <c r="AE2" s="95"/>
      <c r="AF2" s="53" t="s">
        <v>48</v>
      </c>
      <c r="AG2" s="32"/>
      <c r="AH2" s="32"/>
      <c r="AI2" s="32"/>
      <c r="AJ2" s="32"/>
      <c r="AK2" s="32"/>
      <c r="AL2" s="33"/>
      <c r="AM2" s="93" t="s">
        <v>49</v>
      </c>
      <c r="AN2" s="94"/>
      <c r="AO2" s="94"/>
      <c r="AP2" s="94"/>
      <c r="AQ2" s="94"/>
      <c r="AR2" s="94"/>
      <c r="AS2" s="95"/>
    </row>
    <row r="3" spans="1:45" ht="18">
      <c r="A3" s="47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7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1" t="s">
        <v>56</v>
      </c>
      <c r="B4" s="18">
        <v>8</v>
      </c>
      <c r="C4" s="12">
        <f>IF(B4&gt;0,VLOOKUP(B4,$F$4:$G$253,2),"")</f>
        <v>1063.8320000000001</v>
      </c>
      <c r="D4" s="42">
        <v>50</v>
      </c>
      <c r="E4" s="35" t="str">
        <f>IF(OR(F4=$B$11,F4=$B$12,F4=$B$13,F4=$B$14,F4=$B$15,F4=$B$16),"Reservoir",IF(OR(F4=$B$4,F4=$B$5,F4=$B$6),"Pump Station",""))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1.9</v>
      </c>
      <c r="J4" s="36">
        <f>'Flow Rate Calculations'!$B$7</f>
        <v>4.0831050228310497</v>
      </c>
      <c r="K4" s="36">
        <f>J4/I4^2/PI()*4</f>
        <v>1.440102709245225</v>
      </c>
      <c r="L4" s="37">
        <f>$I4*$K4/'Calculation Constants'!$B$7</f>
        <v>2421411.6350140949</v>
      </c>
      <c r="M4" s="37">
        <f>IF(X4&gt;VLOOKUP(F4,$B$11:$D$16,2),"Greater Dynamic Pressures",VLOOKUP(F4,$B$11:$C$16,2)-G4)</f>
        <v>10</v>
      </c>
      <c r="N4" s="23">
        <f>W4</f>
        <v>10</v>
      </c>
      <c r="O4" s="56">
        <f t="shared" ref="O4:O67" si="0">MAX(M4,AD4)</f>
        <v>10</v>
      </c>
      <c r="P4" s="65">
        <f>MAX(I4*1000/'Calculation Constants'!$B$14,O4*10*I4*1000/2/('Calculation Constants'!$B$12*1000*'Calculation Constants'!$B$13))</f>
        <v>11.875</v>
      </c>
      <c r="Q4" s="68">
        <f t="shared" ref="Q4:Q67" si="1">(I4^2*PI()/4-(I4-P4/1000*2)^2*PI()/4)*H4*1000*7850</f>
        <v>0</v>
      </c>
      <c r="R4" s="27">
        <f>(1/(2*LOG(3.7*$I4/'Calculation Constants'!$B$2*1000)))^2</f>
        <v>8.6699836115820689E-3</v>
      </c>
      <c r="S4" s="19" t="str">
        <f>IF($H4&gt;0,R4*$H4*$K4^2/2/9.81/$I4*1000,"")</f>
        <v/>
      </c>
      <c r="T4" s="19" t="str">
        <f>IF($H4&gt;0,'Calculation Constants'!$B$9*Hydraulics!$K4^2/2/9.81/MAX($F$4:$F$253)*$H4,"")</f>
        <v/>
      </c>
      <c r="U4" s="19">
        <f>IF(S4="",0,S4+T4)</f>
        <v>0</v>
      </c>
      <c r="V4" s="19">
        <f t="shared" ref="V4:V67" si="2">IF($F4=$B$4,$D$4,(IF($F4=$B$5,$D$5,IF($F4=$B$6,$D$6,0))))</f>
        <v>0</v>
      </c>
      <c r="W4" s="19">
        <f t="shared" ref="W4:W67" si="3">IF(E4="Reservoir",VLOOKUP(F4,$B$11:$D$15,2)-G4,X4-$G4)</f>
        <v>10</v>
      </c>
      <c r="X4" s="23">
        <f>IF($E4="Reservoir",VLOOKUP($F4,$B$11:$D$16,2)+V4,X3-U4+V4)</f>
        <v>1079.018</v>
      </c>
      <c r="Y4" s="22">
        <f>(1/(2*LOG(3.7*$I4/'Calculation Constants'!$B$3*1000)))^2</f>
        <v>9.7303620360708887E-3</v>
      </c>
      <c r="Z4" s="19" t="str">
        <f t="shared" ref="Z4:Z67" si="4">IF($H4&gt;0,Y4*$H4*$K4^2/2/9.81/$I4*1000,"")</f>
        <v/>
      </c>
      <c r="AA4" s="19" t="str">
        <f>IF($H4&gt;0,'Calculation Constants'!$B$9*Hydraulics!$K4^2/2/9.81/MAX($F$4:$F$253)*$H4,"")</f>
        <v/>
      </c>
      <c r="AB4" s="19">
        <f>IF(Z4="",0,Z4+AA4)</f>
        <v>0</v>
      </c>
      <c r="AC4" s="19">
        <f t="shared" ref="AC4:AC67" si="5">IF($F4=$B$4,$D$4,(IF($F4=$B$5,$D$5,IF($F4=$B$6,$D$6,0))))</f>
        <v>0</v>
      </c>
      <c r="AD4" s="19">
        <f>AE4-$G4</f>
        <v>10</v>
      </c>
      <c r="AE4" s="23">
        <f>IF($E4="Reservoir",VLOOKUP($F4,$B$11:$D$16,2)+AC4,AE3-AB4+AC4)</f>
        <v>1079.018</v>
      </c>
      <c r="AF4" s="27">
        <f>(1/(2*LOG(3.7*$I4/'Calculation Constants'!$B$4*1000)))^2</f>
        <v>1.1458969193927592E-2</v>
      </c>
      <c r="AG4" s="19" t="str">
        <f t="shared" ref="AG4:AG67" si="6">IF($H4&gt;0,AF4*$H4*$K4^2/2/9.81/$I4*1000,"")</f>
        <v/>
      </c>
      <c r="AH4" s="19" t="str">
        <f>IF($H4&gt;0,'Calculation Constants'!$B$9*Hydraulics!$K4^2/2/9.81/MAX($F$4:$F$253)*$H4,"")</f>
        <v/>
      </c>
      <c r="AI4" s="19">
        <f>IF(AG4="",0,AG4+AH4)</f>
        <v>0</v>
      </c>
      <c r="AJ4" s="19">
        <f t="shared" ref="AJ4:AJ67" si="7">IF($F4=$B$4,$D$4,(IF($F4=$B$5,$D$5,IF($F4=$B$6,$D$6,0))))</f>
        <v>0</v>
      </c>
      <c r="AK4" s="19">
        <f>AL4-$G4</f>
        <v>10</v>
      </c>
      <c r="AL4" s="23">
        <f>IF($E4="Reservoir",VLOOKUP($F4,$B$11:$D$16,2)+AJ4,AL3-AI4+AJ4)</f>
        <v>1079.018</v>
      </c>
      <c r="AM4" s="22">
        <f>(1/(2*LOG(3.7*($I4-0.008)/'Calculation Constants'!$B$5*1000)))^2</f>
        <v>1.4542845531075887E-2</v>
      </c>
      <c r="AN4" s="19" t="str">
        <f>IF($H4&gt;0,AM4*$H4*$K4^2/2/9.81/($I4-0.008)*1000,"")</f>
        <v/>
      </c>
      <c r="AO4" s="19" t="str">
        <f>IF($H4&gt;0,'Calculation Constants'!$B$9*Hydraulics!$K4^2/2/9.81/MAX($F$4:$F$253)*$H4,"")</f>
        <v/>
      </c>
      <c r="AP4" s="19">
        <f>IF(AN4="",0,AN4+AO4)</f>
        <v>0</v>
      </c>
      <c r="AQ4" s="19">
        <f t="shared" ref="AQ4:AQ67" si="8">IF($F4=$B$4,$D$4,(IF($F4=$B$5,$D$5,IF($F4=$B$6,$D$6,0))))</f>
        <v>0</v>
      </c>
      <c r="AR4" s="19">
        <f>AS4-$G4</f>
        <v>10</v>
      </c>
      <c r="AS4" s="23">
        <f>IF($E4="Reservoir",VLOOKUP($F4,$B$11:$D$16,2)+AQ4,AS3-AP4+AQ4)</f>
        <v>1079.018</v>
      </c>
    </row>
    <row r="5" spans="1:45">
      <c r="A5" s="41" t="s">
        <v>85</v>
      </c>
      <c r="B5" s="18">
        <v>228</v>
      </c>
      <c r="C5" s="12">
        <f>IF(B5&gt;0,VLOOKUP(B5,$F$4:$G$253,2),"")</f>
        <v>913.48400000000004</v>
      </c>
      <c r="D5" s="42">
        <v>120</v>
      </c>
      <c r="E5" s="35" t="str">
        <f t="shared" ref="E5:E68" si="9">IF(OR(F5=$B$11,F5=$B$12,F5=$B$13,F5=$B$14,F5=$B$15,F5=$B$16),"Reservoir",IF(OR(F5=$B$4,F5=$B$5,F5=$B$6),"Pump Station",""))</f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1.9</v>
      </c>
      <c r="J5" s="36">
        <f>'Flow Rate Calculations'!$B$7</f>
        <v>4.0831050228310497</v>
      </c>
      <c r="K5" s="36">
        <f t="shared" ref="K5:K68" si="10">J5/I5^2/PI()*4</f>
        <v>1.440102709245225</v>
      </c>
      <c r="L5" s="37">
        <f>$I5*$K5/'Calculation Constants'!$B$7</f>
        <v>2421411.6350140949</v>
      </c>
      <c r="M5" s="37">
        <f t="shared" ref="M5:M68" si="11">IF(X5&gt;VLOOKUP(F5,$B$11:$D$16,2),"Greater Dynamic Pressures",VLOOKUP(F5,$B$11:$C$16,2)-G5)</f>
        <v>11.697000000000116</v>
      </c>
      <c r="N5" s="23">
        <f t="shared" ref="N5:N68" si="12">W5</f>
        <v>10.668899601595285</v>
      </c>
      <c r="O5" s="57">
        <f t="shared" si="0"/>
        <v>11.697000000000116</v>
      </c>
      <c r="P5" s="66">
        <f>MAX(I5*1000/'Calculation Constants'!$B$14,O5*10*I5*1000/2/('Calculation Constants'!$B$12*1000*'Calculation Constants'!$B$13))</f>
        <v>11.875</v>
      </c>
      <c r="Q5" s="68">
        <f t="shared" si="1"/>
        <v>1105894.9783427313</v>
      </c>
      <c r="R5" s="27">
        <f>(1/(2*LOG(3.7*$I5/'Calculation Constants'!$B$2*1000)))^2</f>
        <v>8.6699836115820689E-3</v>
      </c>
      <c r="S5" s="19">
        <f t="shared" ref="S5:S68" si="13">IF($H5&gt;0,R5*$H5*$K5^2/2/9.81/$I5*1000,"")</f>
        <v>0.96467850809376621</v>
      </c>
      <c r="T5" s="19">
        <f>IF($H5&gt;0,'Calculation Constants'!$B$9*Hydraulics!$K5^2/2/9.81/MAX($F$4:$F$253)*$H5,"")</f>
        <v>6.3421890311175441E-2</v>
      </c>
      <c r="U5" s="19">
        <f t="shared" ref="U5:U68" si="14">IF(S5="",0,S5+T5)</f>
        <v>1.0281003984049417</v>
      </c>
      <c r="V5" s="19">
        <f t="shared" si="2"/>
        <v>0</v>
      </c>
      <c r="W5" s="19">
        <f t="shared" si="3"/>
        <v>10.668899601595285</v>
      </c>
      <c r="X5" s="23">
        <f t="shared" ref="X5:X68" si="15">IF($E5="Reservoir",VLOOKUP($F5,$B$11:$D$16,2)+V5,X4-U5+V5)</f>
        <v>1077.9898996015952</v>
      </c>
      <c r="Y5" s="22">
        <f>(1/(2*LOG(3.7*$I5/'Calculation Constants'!$B$3*1000)))^2</f>
        <v>9.7303620360708887E-3</v>
      </c>
      <c r="Z5" s="19">
        <f t="shared" si="4"/>
        <v>1.0826630767363397</v>
      </c>
      <c r="AA5" s="19">
        <f>IF($H5&gt;0,'Calculation Constants'!$B$9*Hydraulics!$K5^2/2/9.81/MAX($F$4:$F$253)*$H5,"")</f>
        <v>6.3421890311175441E-2</v>
      </c>
      <c r="AB5" s="19">
        <f t="shared" ref="AB5:AB7" si="16">IF(Z5="",0,Z5+AA5)</f>
        <v>1.1460849670475151</v>
      </c>
      <c r="AC5" s="19">
        <f t="shared" si="5"/>
        <v>0</v>
      </c>
      <c r="AD5" s="19">
        <f t="shared" ref="AD5:AD68" si="17">AE5-$G5</f>
        <v>10.550915032952616</v>
      </c>
      <c r="AE5" s="23">
        <f t="shared" ref="AE5:AE68" si="18">IF($E5="Reservoir",VLOOKUP($F5,$B$11:$D$16,2)+AC5,AE4-AB5+AC5)</f>
        <v>1077.8719150329525</v>
      </c>
      <c r="AF5" s="27">
        <f>(1/(2*LOG(3.7*$I5/'Calculation Constants'!$B$4*1000)))^2</f>
        <v>1.1458969193927592E-2</v>
      </c>
      <c r="AG5" s="19">
        <f t="shared" si="6"/>
        <v>1.274999100520025</v>
      </c>
      <c r="AH5" s="19">
        <f>IF($H5&gt;0,'Calculation Constants'!$B$9*Hydraulics!$K5^2/2/9.81/MAX($F$4:$F$253)*$H5,"")</f>
        <v>6.3421890311175441E-2</v>
      </c>
      <c r="AI5" s="19">
        <f t="shared" ref="AI5:AI68" si="19">IF(AG5="",0,AG5+AH5)</f>
        <v>1.3384209908312004</v>
      </c>
      <c r="AJ5" s="19">
        <f t="shared" si="7"/>
        <v>0</v>
      </c>
      <c r="AK5" s="19">
        <f t="shared" ref="AK5:AK68" si="20">AL5-$G5</f>
        <v>10.358579009168807</v>
      </c>
      <c r="AL5" s="23">
        <f t="shared" ref="AL5:AL68" si="21">IF($E5="Reservoir",VLOOKUP($F5,$B$11:$D$16,2)+AJ5,AL4-AI5+AJ5)</f>
        <v>1077.6795790091687</v>
      </c>
      <c r="AM5" s="22">
        <f>(1/(2*LOG(3.7*($I5-0.008)/'Calculation Constants'!$B$5*1000)))^2</f>
        <v>1.4542845531075887E-2</v>
      </c>
      <c r="AN5" s="19">
        <f t="shared" ref="AN5:AN68" si="22">IF($H5&gt;0,AM5*$H5*$K5^2/2/9.81/($I5-0.008)*1000,"")</f>
        <v>1.6249731396833385</v>
      </c>
      <c r="AO5" s="19">
        <f>IF($H5&gt;0,'Calculation Constants'!$B$9*Hydraulics!$K5^2/2/9.81/MAX($F$4:$F$253)*$H5,"")</f>
        <v>6.3421890311175441E-2</v>
      </c>
      <c r="AP5" s="19">
        <f t="shared" ref="AP5:AP68" si="23">IF(AN5="",0,AN5+AO5)</f>
        <v>1.6883950299945139</v>
      </c>
      <c r="AQ5" s="19">
        <f t="shared" si="8"/>
        <v>0</v>
      </c>
      <c r="AR5" s="19">
        <f t="shared" ref="AR5:AR68" si="24">AS5-$G5</f>
        <v>10.008604970005536</v>
      </c>
      <c r="AS5" s="23">
        <f t="shared" ref="AS5:AS68" si="25">IF($E5="Reservoir",VLOOKUP($F5,$B$11:$D$16,2)+AQ5,AS4-AP5+AQ5)</f>
        <v>1077.3296049700054</v>
      </c>
    </row>
    <row r="6" spans="1:45" ht="15.75" thickBot="1">
      <c r="A6" s="43"/>
      <c r="B6" s="44"/>
      <c r="C6" s="45"/>
      <c r="D6" s="46"/>
      <c r="E6" s="35" t="str">
        <f t="shared" si="9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6">F6-F5</f>
        <v>2</v>
      </c>
      <c r="I6" s="19">
        <v>1.9</v>
      </c>
      <c r="J6" s="36">
        <f>'Flow Rate Calculations'!$B$7</f>
        <v>4.0831050228310497</v>
      </c>
      <c r="K6" s="36">
        <f t="shared" si="10"/>
        <v>1.440102709245225</v>
      </c>
      <c r="L6" s="37">
        <f>$I6*$K6/'Calculation Constants'!$B$7</f>
        <v>2421411.6350140949</v>
      </c>
      <c r="M6" s="37">
        <f t="shared" si="11"/>
        <v>14.982999999999947</v>
      </c>
      <c r="N6" s="23">
        <f t="shared" si="12"/>
        <v>12.926799203190285</v>
      </c>
      <c r="O6" s="57">
        <f t="shared" si="0"/>
        <v>14.982999999999947</v>
      </c>
      <c r="P6" s="66">
        <f>MAX(I6*1000/'Calculation Constants'!$B$14,O6*10*I6*1000/2/('Calculation Constants'!$B$12*1000*'Calculation Constants'!$B$13))</f>
        <v>11.875</v>
      </c>
      <c r="Q6" s="68">
        <f t="shared" si="1"/>
        <v>1105894.9783427313</v>
      </c>
      <c r="R6" s="27">
        <f>(1/(2*LOG(3.7*$I6/'Calculation Constants'!$B$2*1000)))^2</f>
        <v>8.6699836115820689E-3</v>
      </c>
      <c r="S6" s="19">
        <f t="shared" si="13"/>
        <v>0.96467850809376621</v>
      </c>
      <c r="T6" s="19">
        <f>IF($H6&gt;0,'Calculation Constants'!$B$9*Hydraulics!$K6^2/2/9.81/MAX($F$4:$F$253)*$H6,"")</f>
        <v>6.3421890311175441E-2</v>
      </c>
      <c r="U6" s="19">
        <f t="shared" si="14"/>
        <v>1.0281003984049417</v>
      </c>
      <c r="V6" s="19">
        <f t="shared" si="2"/>
        <v>0</v>
      </c>
      <c r="W6" s="19">
        <f t="shared" si="3"/>
        <v>12.926799203190285</v>
      </c>
      <c r="X6" s="23">
        <f t="shared" si="15"/>
        <v>1076.9617992031904</v>
      </c>
      <c r="Y6" s="22">
        <f>(1/(2*LOG(3.7*$I6/'Calculation Constants'!$B$3*1000)))^2</f>
        <v>9.7303620360708887E-3</v>
      </c>
      <c r="Z6" s="19">
        <f t="shared" si="4"/>
        <v>1.0826630767363397</v>
      </c>
      <c r="AA6" s="19">
        <f>IF($H6&gt;0,'Calculation Constants'!$B$9*Hydraulics!$K6^2/2/9.81/MAX($F$4:$F$253)*$H6,"")</f>
        <v>6.3421890311175441E-2</v>
      </c>
      <c r="AB6" s="19">
        <f t="shared" si="16"/>
        <v>1.1460849670475151</v>
      </c>
      <c r="AC6" s="19">
        <f t="shared" si="5"/>
        <v>0</v>
      </c>
      <c r="AD6" s="19">
        <f t="shared" si="17"/>
        <v>12.690830065904947</v>
      </c>
      <c r="AE6" s="23">
        <f t="shared" si="18"/>
        <v>1076.725830065905</v>
      </c>
      <c r="AF6" s="27">
        <f>(1/(2*LOG(3.7*$I6/'Calculation Constants'!$B$4*1000)))^2</f>
        <v>1.1458969193927592E-2</v>
      </c>
      <c r="AG6" s="19">
        <f t="shared" si="6"/>
        <v>1.274999100520025</v>
      </c>
      <c r="AH6" s="19">
        <f>IF($H6&gt;0,'Calculation Constants'!$B$9*Hydraulics!$K6^2/2/9.81/MAX($F$4:$F$253)*$H6,"")</f>
        <v>6.3421890311175441E-2</v>
      </c>
      <c r="AI6" s="19">
        <f t="shared" si="19"/>
        <v>1.3384209908312004</v>
      </c>
      <c r="AJ6" s="19">
        <f t="shared" si="7"/>
        <v>0</v>
      </c>
      <c r="AK6" s="19">
        <f t="shared" si="20"/>
        <v>12.306158018337328</v>
      </c>
      <c r="AL6" s="23">
        <f t="shared" si="21"/>
        <v>1076.3411580183374</v>
      </c>
      <c r="AM6" s="22">
        <f>(1/(2*LOG(3.7*($I6-0.008)/'Calculation Constants'!$B$5*1000)))^2</f>
        <v>1.4542845531075887E-2</v>
      </c>
      <c r="AN6" s="19">
        <f t="shared" si="22"/>
        <v>1.6249731396833385</v>
      </c>
      <c r="AO6" s="19">
        <f>IF($H6&gt;0,'Calculation Constants'!$B$9*Hydraulics!$K6^2/2/9.81/MAX($F$4:$F$253)*$H6,"")</f>
        <v>6.3421890311175441E-2</v>
      </c>
      <c r="AP6" s="19">
        <f t="shared" si="23"/>
        <v>1.6883950299945139</v>
      </c>
      <c r="AQ6" s="19">
        <f t="shared" si="8"/>
        <v>0</v>
      </c>
      <c r="AR6" s="19">
        <f t="shared" si="24"/>
        <v>11.606209940010785</v>
      </c>
      <c r="AS6" s="23">
        <f t="shared" si="25"/>
        <v>1075.6412099400109</v>
      </c>
    </row>
    <row r="7" spans="1:45">
      <c r="E7" s="35" t="str">
        <f t="shared" si="9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6"/>
        <v>2</v>
      </c>
      <c r="I7" s="19">
        <v>1.9</v>
      </c>
      <c r="J7" s="36">
        <f>'Flow Rate Calculations'!$B$7</f>
        <v>4.0831050228310497</v>
      </c>
      <c r="K7" s="36">
        <f t="shared" si="10"/>
        <v>1.440102709245225</v>
      </c>
      <c r="L7" s="37">
        <f>$I7*$K7/'Calculation Constants'!$B$7</f>
        <v>2421411.6350140949</v>
      </c>
      <c r="M7" s="37" t="str">
        <f t="shared" si="11"/>
        <v>Greater Dynamic Pressures</v>
      </c>
      <c r="N7" s="23">
        <f t="shared" si="12"/>
        <v>62.101698804785428</v>
      </c>
      <c r="O7" s="57">
        <f t="shared" si="0"/>
        <v>61.747745098857422</v>
      </c>
      <c r="P7" s="66">
        <f>MAX(I7*1000/'Calculation Constants'!$B$14,O7*10*I7*1000/2/('Calculation Constants'!$B$12*1000*'Calculation Constants'!$B$13))</f>
        <v>11.875</v>
      </c>
      <c r="Q7" s="68">
        <f t="shared" si="1"/>
        <v>1105894.9783427313</v>
      </c>
      <c r="R7" s="27">
        <f>(1/(2*LOG(3.7*$I7/'Calculation Constants'!$B$2*1000)))^2</f>
        <v>8.6699836115820689E-3</v>
      </c>
      <c r="S7" s="19">
        <f t="shared" si="13"/>
        <v>0.96467850809376621</v>
      </c>
      <c r="T7" s="19">
        <f>IF($H7&gt;0,'Calculation Constants'!$B$9*Hydraulics!$K7^2/2/9.81/MAX($F$4:$F$253)*$H7,"")</f>
        <v>6.3421890311175441E-2</v>
      </c>
      <c r="U7" s="19">
        <f t="shared" si="14"/>
        <v>1.0281003984049417</v>
      </c>
      <c r="V7" s="19">
        <f t="shared" si="2"/>
        <v>50</v>
      </c>
      <c r="W7" s="19">
        <f t="shared" si="3"/>
        <v>62.101698804785428</v>
      </c>
      <c r="X7" s="23">
        <f t="shared" si="15"/>
        <v>1125.9336988047855</v>
      </c>
      <c r="Y7" s="22">
        <f>(1/(2*LOG(3.7*$I7/'Calculation Constants'!$B$3*1000)))^2</f>
        <v>9.7303620360708887E-3</v>
      </c>
      <c r="Z7" s="19">
        <f t="shared" si="4"/>
        <v>1.0826630767363397</v>
      </c>
      <c r="AA7" s="19">
        <f>IF($H7&gt;0,'Calculation Constants'!$B$9*Hydraulics!$K7^2/2/9.81/MAX($F$4:$F$253)*$H7,"")</f>
        <v>6.3421890311175441E-2</v>
      </c>
      <c r="AB7" s="19">
        <f t="shared" si="16"/>
        <v>1.1460849670475151</v>
      </c>
      <c r="AC7" s="19">
        <f t="shared" si="5"/>
        <v>50</v>
      </c>
      <c r="AD7" s="19">
        <f t="shared" si="17"/>
        <v>61.747745098857422</v>
      </c>
      <c r="AE7" s="23">
        <f t="shared" si="18"/>
        <v>1125.5797450988575</v>
      </c>
      <c r="AF7" s="27">
        <f>(1/(2*LOG(3.7*$I7/'Calculation Constants'!$B$4*1000)))^2</f>
        <v>1.1458969193927592E-2</v>
      </c>
      <c r="AG7" s="19">
        <f t="shared" si="6"/>
        <v>1.274999100520025</v>
      </c>
      <c r="AH7" s="19">
        <f>IF($H7&gt;0,'Calculation Constants'!$B$9*Hydraulics!$K7^2/2/9.81/MAX($F$4:$F$253)*$H7,"")</f>
        <v>6.3421890311175441E-2</v>
      </c>
      <c r="AI7" s="19">
        <f t="shared" si="19"/>
        <v>1.3384209908312004</v>
      </c>
      <c r="AJ7" s="19">
        <f t="shared" si="7"/>
        <v>50</v>
      </c>
      <c r="AK7" s="19">
        <f t="shared" si="20"/>
        <v>61.170737027505993</v>
      </c>
      <c r="AL7" s="23">
        <f t="shared" si="21"/>
        <v>1125.0027370275061</v>
      </c>
      <c r="AM7" s="22">
        <f>(1/(2*LOG(3.7*($I7-0.008)/'Calculation Constants'!$B$5*1000)))^2</f>
        <v>1.4542845531075887E-2</v>
      </c>
      <c r="AN7" s="19">
        <f t="shared" si="22"/>
        <v>1.6249731396833385</v>
      </c>
      <c r="AO7" s="19">
        <f>IF($H7&gt;0,'Calculation Constants'!$B$9*Hydraulics!$K7^2/2/9.81/MAX($F$4:$F$253)*$H7,"")</f>
        <v>6.3421890311175441E-2</v>
      </c>
      <c r="AP7" s="19">
        <f t="shared" si="23"/>
        <v>1.6883950299945139</v>
      </c>
      <c r="AQ7" s="19">
        <f t="shared" si="8"/>
        <v>50</v>
      </c>
      <c r="AR7" s="19">
        <f t="shared" si="24"/>
        <v>60.120814910016179</v>
      </c>
      <c r="AS7" s="23">
        <f t="shared" si="25"/>
        <v>1123.9528149100163</v>
      </c>
    </row>
    <row r="8" spans="1:45" ht="15.75" thickBot="1">
      <c r="E8" s="35" t="str">
        <f t="shared" si="9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6"/>
        <v>2</v>
      </c>
      <c r="I8" s="19">
        <v>1.9</v>
      </c>
      <c r="J8" s="36">
        <f>'Flow Rate Calculations'!$B$7</f>
        <v>4.0831050228310497</v>
      </c>
      <c r="K8" s="36">
        <f t="shared" si="10"/>
        <v>1.440102709245225</v>
      </c>
      <c r="L8" s="37">
        <f>$I8*$K8/'Calculation Constants'!$B$7</f>
        <v>2421411.6350140949</v>
      </c>
      <c r="M8" s="37" t="str">
        <f t="shared" si="11"/>
        <v>Greater Dynamic Pressures</v>
      </c>
      <c r="N8" s="23">
        <f t="shared" si="12"/>
        <v>57.012598406380675</v>
      </c>
      <c r="O8" s="57">
        <f t="shared" si="0"/>
        <v>56.54066013181</v>
      </c>
      <c r="P8" s="66">
        <f>MAX(I8*1000/'Calculation Constants'!$B$14,O8*10*I8*1000/2/('Calculation Constants'!$B$12*1000*'Calculation Constants'!$B$13))</f>
        <v>11.875</v>
      </c>
      <c r="Q8" s="68">
        <f t="shared" si="1"/>
        <v>1105894.9783427313</v>
      </c>
      <c r="R8" s="27">
        <f>(1/(2*LOG(3.7*$I8/'Calculation Constants'!$B$2*1000)))^2</f>
        <v>8.6699836115820689E-3</v>
      </c>
      <c r="S8" s="19">
        <f t="shared" si="13"/>
        <v>0.96467850809376621</v>
      </c>
      <c r="T8" s="19">
        <f>IF($H8&gt;0,'Calculation Constants'!$B$9*Hydraulics!$K8^2/2/9.81/MAX($F$4:$F$253)*$H8,"")</f>
        <v>6.3421890311175441E-2</v>
      </c>
      <c r="U8" s="19">
        <f t="shared" si="14"/>
        <v>1.0281003984049417</v>
      </c>
      <c r="V8" s="19">
        <f t="shared" si="2"/>
        <v>0</v>
      </c>
      <c r="W8" s="19">
        <f t="shared" si="3"/>
        <v>57.012598406380675</v>
      </c>
      <c r="X8" s="23">
        <f t="shared" si="15"/>
        <v>1124.9055984063807</v>
      </c>
      <c r="Y8" s="22">
        <f>(1/(2*LOG(3.7*$I8/'Calculation Constants'!$B$3*1000)))^2</f>
        <v>9.7303620360708887E-3</v>
      </c>
      <c r="Z8" s="19">
        <f t="shared" si="4"/>
        <v>1.0826630767363397</v>
      </c>
      <c r="AA8" s="19">
        <f>IF($H8&gt;0,'Calculation Constants'!$B$9*Hydraulics!$K8^2/2/9.81/MAX($F$4:$F$253)*$H8,"")</f>
        <v>6.3421890311175441E-2</v>
      </c>
      <c r="AB8" s="19">
        <f t="shared" ref="AB8:AB71" si="27">IF(Z8="",0,Z8+AA8)</f>
        <v>1.1460849670475151</v>
      </c>
      <c r="AC8" s="19">
        <f t="shared" si="5"/>
        <v>0</v>
      </c>
      <c r="AD8" s="19">
        <f t="shared" si="17"/>
        <v>56.54066013181</v>
      </c>
      <c r="AE8" s="23">
        <f t="shared" si="18"/>
        <v>1124.43366013181</v>
      </c>
      <c r="AF8" s="27">
        <f>(1/(2*LOG(3.7*$I8/'Calculation Constants'!$B$4*1000)))^2</f>
        <v>1.1458969193927592E-2</v>
      </c>
      <c r="AG8" s="19">
        <f t="shared" si="6"/>
        <v>1.274999100520025</v>
      </c>
      <c r="AH8" s="19">
        <f>IF($H8&gt;0,'Calculation Constants'!$B$9*Hydraulics!$K8^2/2/9.81/MAX($F$4:$F$253)*$H8,"")</f>
        <v>6.3421890311175441E-2</v>
      </c>
      <c r="AI8" s="19">
        <f t="shared" si="19"/>
        <v>1.3384209908312004</v>
      </c>
      <c r="AJ8" s="19">
        <f t="shared" si="7"/>
        <v>0</v>
      </c>
      <c r="AK8" s="19">
        <f t="shared" si="20"/>
        <v>55.771316036674762</v>
      </c>
      <c r="AL8" s="23">
        <f t="shared" si="21"/>
        <v>1123.6643160366748</v>
      </c>
      <c r="AM8" s="22">
        <f>(1/(2*LOG(3.7*($I8-0.008)/'Calculation Constants'!$B$5*1000)))^2</f>
        <v>1.4542845531075887E-2</v>
      </c>
      <c r="AN8" s="19">
        <f t="shared" si="22"/>
        <v>1.6249731396833385</v>
      </c>
      <c r="AO8" s="19">
        <f>IF($H8&gt;0,'Calculation Constants'!$B$9*Hydraulics!$K8^2/2/9.81/MAX($F$4:$F$253)*$H8,"")</f>
        <v>6.3421890311175441E-2</v>
      </c>
      <c r="AP8" s="19">
        <f t="shared" si="23"/>
        <v>1.6883950299945139</v>
      </c>
      <c r="AQ8" s="19">
        <f t="shared" si="8"/>
        <v>0</v>
      </c>
      <c r="AR8" s="19">
        <f t="shared" si="24"/>
        <v>54.371419880021676</v>
      </c>
      <c r="AS8" s="23">
        <f t="shared" si="25"/>
        <v>1122.2644198800217</v>
      </c>
    </row>
    <row r="9" spans="1:45">
      <c r="A9" s="90" t="s">
        <v>75</v>
      </c>
      <c r="B9" s="91"/>
      <c r="C9" s="91"/>
      <c r="D9" s="92"/>
      <c r="E9" s="35" t="str">
        <f t="shared" si="9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6"/>
        <v>2</v>
      </c>
      <c r="I9" s="19">
        <v>1.9</v>
      </c>
      <c r="J9" s="36">
        <f>'Flow Rate Calculations'!$B$7</f>
        <v>4.0831050228310497</v>
      </c>
      <c r="K9" s="36">
        <f t="shared" si="10"/>
        <v>1.440102709245225</v>
      </c>
      <c r="L9" s="37">
        <f>$I9*$K9/'Calculation Constants'!$B$7</f>
        <v>2421411.6350140949</v>
      </c>
      <c r="M9" s="37" t="str">
        <f t="shared" si="11"/>
        <v>Greater Dynamic Pressures</v>
      </c>
      <c r="N9" s="23">
        <f t="shared" si="12"/>
        <v>48.744498007975835</v>
      </c>
      <c r="O9" s="57">
        <f t="shared" si="0"/>
        <v>48.154575164762491</v>
      </c>
      <c r="P9" s="66">
        <f>MAX(I9*1000/'Calculation Constants'!$B$14,O9*10*I9*1000/2/('Calculation Constants'!$B$12*1000*'Calculation Constants'!$B$13))</f>
        <v>11.875</v>
      </c>
      <c r="Q9" s="68">
        <f t="shared" si="1"/>
        <v>1105894.9783427313</v>
      </c>
      <c r="R9" s="27">
        <f>(1/(2*LOG(3.7*$I9/'Calculation Constants'!$B$2*1000)))^2</f>
        <v>8.6699836115820689E-3</v>
      </c>
      <c r="S9" s="19">
        <f t="shared" si="13"/>
        <v>0.96467850809376621</v>
      </c>
      <c r="T9" s="19">
        <f>IF($H9&gt;0,'Calculation Constants'!$B$9*Hydraulics!$K9^2/2/9.81/MAX($F$4:$F$253)*$H9,"")</f>
        <v>6.3421890311175441E-2</v>
      </c>
      <c r="U9" s="19">
        <f t="shared" si="14"/>
        <v>1.0281003984049417</v>
      </c>
      <c r="V9" s="19">
        <f t="shared" si="2"/>
        <v>0</v>
      </c>
      <c r="W9" s="19">
        <f t="shared" si="3"/>
        <v>48.744498007975835</v>
      </c>
      <c r="X9" s="23">
        <f t="shared" si="15"/>
        <v>1123.8774980079759</v>
      </c>
      <c r="Y9" s="22">
        <f>(1/(2*LOG(3.7*$I9/'Calculation Constants'!$B$3*1000)))^2</f>
        <v>9.7303620360708887E-3</v>
      </c>
      <c r="Z9" s="19">
        <f t="shared" si="4"/>
        <v>1.0826630767363397</v>
      </c>
      <c r="AA9" s="19">
        <f>IF($H9&gt;0,'Calculation Constants'!$B$9*Hydraulics!$K9^2/2/9.81/MAX($F$4:$F$253)*$H9,"")</f>
        <v>6.3421890311175441E-2</v>
      </c>
      <c r="AB9" s="19">
        <f t="shared" si="27"/>
        <v>1.1460849670475151</v>
      </c>
      <c r="AC9" s="19">
        <f t="shared" si="5"/>
        <v>0</v>
      </c>
      <c r="AD9" s="19">
        <f t="shared" si="17"/>
        <v>48.154575164762491</v>
      </c>
      <c r="AE9" s="23">
        <f t="shared" si="18"/>
        <v>1123.2875751647625</v>
      </c>
      <c r="AF9" s="27">
        <f>(1/(2*LOG(3.7*$I9/'Calculation Constants'!$B$4*1000)))^2</f>
        <v>1.1458969193927592E-2</v>
      </c>
      <c r="AG9" s="19">
        <f t="shared" si="6"/>
        <v>1.274999100520025</v>
      </c>
      <c r="AH9" s="19">
        <f>IF($H9&gt;0,'Calculation Constants'!$B$9*Hydraulics!$K9^2/2/9.81/MAX($F$4:$F$253)*$H9,"")</f>
        <v>6.3421890311175441E-2</v>
      </c>
      <c r="AI9" s="19">
        <f t="shared" si="19"/>
        <v>1.3384209908312004</v>
      </c>
      <c r="AJ9" s="19">
        <f t="shared" si="7"/>
        <v>0</v>
      </c>
      <c r="AK9" s="19">
        <f t="shared" si="20"/>
        <v>47.192895045843443</v>
      </c>
      <c r="AL9" s="23">
        <f t="shared" si="21"/>
        <v>1122.3258950458435</v>
      </c>
      <c r="AM9" s="22">
        <f>(1/(2*LOG(3.7*($I9-0.008)/'Calculation Constants'!$B$5*1000)))^2</f>
        <v>1.4542845531075887E-2</v>
      </c>
      <c r="AN9" s="19">
        <f t="shared" si="22"/>
        <v>1.6249731396833385</v>
      </c>
      <c r="AO9" s="19">
        <f>IF($H9&gt;0,'Calculation Constants'!$B$9*Hydraulics!$K9^2/2/9.81/MAX($F$4:$F$253)*$H9,"")</f>
        <v>6.3421890311175441E-2</v>
      </c>
      <c r="AP9" s="19">
        <f t="shared" si="23"/>
        <v>1.6883950299945139</v>
      </c>
      <c r="AQ9" s="19">
        <f t="shared" si="8"/>
        <v>0</v>
      </c>
      <c r="AR9" s="19">
        <f t="shared" si="24"/>
        <v>45.443024850027086</v>
      </c>
      <c r="AS9" s="23">
        <f t="shared" si="25"/>
        <v>1120.5760248500271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9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6"/>
        <v>2</v>
      </c>
      <c r="I10" s="19">
        <v>1.9</v>
      </c>
      <c r="J10" s="36">
        <f>'Flow Rate Calculations'!$B$7</f>
        <v>4.0831050228310497</v>
      </c>
      <c r="K10" s="36">
        <f t="shared" si="10"/>
        <v>1.440102709245225</v>
      </c>
      <c r="L10" s="37">
        <f>$I10*$K10/'Calculation Constants'!$B$7</f>
        <v>2421411.6350140949</v>
      </c>
      <c r="M10" s="37" t="str">
        <f t="shared" si="11"/>
        <v>Greater Dynamic Pressures</v>
      </c>
      <c r="N10" s="23">
        <f t="shared" si="12"/>
        <v>40.081397609571013</v>
      </c>
      <c r="O10" s="57">
        <f t="shared" si="0"/>
        <v>39.373490197715</v>
      </c>
      <c r="P10" s="66">
        <f>MAX(I10*1000/'Calculation Constants'!$B$14,O10*10*I10*1000/2/('Calculation Constants'!$B$12*1000*'Calculation Constants'!$B$13))</f>
        <v>11.875</v>
      </c>
      <c r="Q10" s="68">
        <f t="shared" si="1"/>
        <v>1105894.9783427313</v>
      </c>
      <c r="R10" s="27">
        <f>(1/(2*LOG(3.7*$I10/'Calculation Constants'!$B$2*1000)))^2</f>
        <v>8.6699836115820689E-3</v>
      </c>
      <c r="S10" s="19">
        <f t="shared" si="13"/>
        <v>0.96467850809376621</v>
      </c>
      <c r="T10" s="19">
        <f>IF($H10&gt;0,'Calculation Constants'!$B$9*Hydraulics!$K10^2/2/9.81/MAX($F$4:$F$253)*$H10,"")</f>
        <v>6.3421890311175441E-2</v>
      </c>
      <c r="U10" s="19">
        <f t="shared" si="14"/>
        <v>1.0281003984049417</v>
      </c>
      <c r="V10" s="19">
        <f t="shared" si="2"/>
        <v>0</v>
      </c>
      <c r="W10" s="19">
        <f t="shared" si="3"/>
        <v>40.081397609571013</v>
      </c>
      <c r="X10" s="23">
        <f t="shared" si="15"/>
        <v>1122.849397609571</v>
      </c>
      <c r="Y10" s="22">
        <f>(1/(2*LOG(3.7*$I10/'Calculation Constants'!$B$3*1000)))^2</f>
        <v>9.7303620360708887E-3</v>
      </c>
      <c r="Z10" s="19">
        <f t="shared" si="4"/>
        <v>1.0826630767363397</v>
      </c>
      <c r="AA10" s="19">
        <f>IF($H10&gt;0,'Calculation Constants'!$B$9*Hydraulics!$K10^2/2/9.81/MAX($F$4:$F$253)*$H10,"")</f>
        <v>6.3421890311175441E-2</v>
      </c>
      <c r="AB10" s="19">
        <f t="shared" si="27"/>
        <v>1.1460849670475151</v>
      </c>
      <c r="AC10" s="19">
        <f t="shared" si="5"/>
        <v>0</v>
      </c>
      <c r="AD10" s="19">
        <f t="shared" si="17"/>
        <v>39.373490197715</v>
      </c>
      <c r="AE10" s="23">
        <f t="shared" si="18"/>
        <v>1122.141490197715</v>
      </c>
      <c r="AF10" s="27">
        <f>(1/(2*LOG(3.7*$I10/'Calculation Constants'!$B$4*1000)))^2</f>
        <v>1.1458969193927592E-2</v>
      </c>
      <c r="AG10" s="19">
        <f t="shared" si="6"/>
        <v>1.274999100520025</v>
      </c>
      <c r="AH10" s="19">
        <f>IF($H10&gt;0,'Calculation Constants'!$B$9*Hydraulics!$K10^2/2/9.81/MAX($F$4:$F$253)*$H10,"")</f>
        <v>6.3421890311175441E-2</v>
      </c>
      <c r="AI10" s="19">
        <f t="shared" si="19"/>
        <v>1.3384209908312004</v>
      </c>
      <c r="AJ10" s="19">
        <f t="shared" si="7"/>
        <v>0</v>
      </c>
      <c r="AK10" s="19">
        <f t="shared" si="20"/>
        <v>38.219474055012142</v>
      </c>
      <c r="AL10" s="23">
        <f t="shared" si="21"/>
        <v>1120.9874740550122</v>
      </c>
      <c r="AM10" s="22">
        <f>(1/(2*LOG(3.7*($I10-0.008)/'Calculation Constants'!$B$5*1000)))^2</f>
        <v>1.4542845531075887E-2</v>
      </c>
      <c r="AN10" s="19">
        <f t="shared" si="22"/>
        <v>1.6249731396833385</v>
      </c>
      <c r="AO10" s="19">
        <f>IF($H10&gt;0,'Calculation Constants'!$B$9*Hydraulics!$K10^2/2/9.81/MAX($F$4:$F$253)*$H10,"")</f>
        <v>6.3421890311175441E-2</v>
      </c>
      <c r="AP10" s="19">
        <f t="shared" si="23"/>
        <v>1.6883950299945139</v>
      </c>
      <c r="AQ10" s="19">
        <f t="shared" si="8"/>
        <v>0</v>
      </c>
      <c r="AR10" s="19">
        <f t="shared" si="24"/>
        <v>36.119629820032515</v>
      </c>
      <c r="AS10" s="23">
        <f t="shared" si="25"/>
        <v>1118.8876298200325</v>
      </c>
    </row>
    <row r="11" spans="1:45">
      <c r="A11" s="41" t="s">
        <v>16</v>
      </c>
      <c r="B11" s="18">
        <v>2</v>
      </c>
      <c r="C11" s="12">
        <f t="shared" ref="C11:C16" si="28">IF(B11&gt;0,VLOOKUP(B11,$F$4:$G$253,2)+D11,"")</f>
        <v>1079.018</v>
      </c>
      <c r="D11" s="42">
        <v>10</v>
      </c>
      <c r="E11" s="35" t="str">
        <f t="shared" si="9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6"/>
        <v>2</v>
      </c>
      <c r="I11" s="19">
        <v>1.9</v>
      </c>
      <c r="J11" s="36">
        <f>'Flow Rate Calculations'!$B$7</f>
        <v>4.0831050228310497</v>
      </c>
      <c r="K11" s="36">
        <f t="shared" si="10"/>
        <v>1.440102709245225</v>
      </c>
      <c r="L11" s="37">
        <f>$I11*$K11/'Calculation Constants'!$B$7</f>
        <v>2421411.6350140949</v>
      </c>
      <c r="M11" s="37" t="str">
        <f t="shared" si="11"/>
        <v>Greater Dynamic Pressures</v>
      </c>
      <c r="N11" s="23">
        <f t="shared" si="12"/>
        <v>32.095297211166098</v>
      </c>
      <c r="O11" s="57">
        <f t="shared" si="0"/>
        <v>31.269405230667417</v>
      </c>
      <c r="P11" s="66">
        <f>MAX(I11*1000/'Calculation Constants'!$B$14,O11*10*I11*1000/2/('Calculation Constants'!$B$12*1000*'Calculation Constants'!$B$13))</f>
        <v>11.875</v>
      </c>
      <c r="Q11" s="68">
        <f t="shared" si="1"/>
        <v>1105894.9783427313</v>
      </c>
      <c r="R11" s="27">
        <f>(1/(2*LOG(3.7*$I11/'Calculation Constants'!$B$2*1000)))^2</f>
        <v>8.6699836115820689E-3</v>
      </c>
      <c r="S11" s="19">
        <f t="shared" si="13"/>
        <v>0.96467850809376621</v>
      </c>
      <c r="T11" s="19">
        <f>IF($H11&gt;0,'Calculation Constants'!$B$9*Hydraulics!$K11^2/2/9.81/MAX($F$4:$F$253)*$H11,"")</f>
        <v>6.3421890311175441E-2</v>
      </c>
      <c r="U11" s="19">
        <f t="shared" si="14"/>
        <v>1.0281003984049417</v>
      </c>
      <c r="V11" s="19">
        <f t="shared" si="2"/>
        <v>0</v>
      </c>
      <c r="W11" s="19">
        <f t="shared" si="3"/>
        <v>32.095297211166098</v>
      </c>
      <c r="X11" s="23">
        <f t="shared" si="15"/>
        <v>1121.8212972111662</v>
      </c>
      <c r="Y11" s="22">
        <f>(1/(2*LOG(3.7*$I11/'Calculation Constants'!$B$3*1000)))^2</f>
        <v>9.7303620360708887E-3</v>
      </c>
      <c r="Z11" s="19">
        <f t="shared" si="4"/>
        <v>1.0826630767363397</v>
      </c>
      <c r="AA11" s="19">
        <f>IF($H11&gt;0,'Calculation Constants'!$B$9*Hydraulics!$K11^2/2/9.81/MAX($F$4:$F$253)*$H11,"")</f>
        <v>6.3421890311175441E-2</v>
      </c>
      <c r="AB11" s="19">
        <f t="shared" si="27"/>
        <v>1.1460849670475151</v>
      </c>
      <c r="AC11" s="19">
        <f t="shared" si="5"/>
        <v>0</v>
      </c>
      <c r="AD11" s="19">
        <f t="shared" si="17"/>
        <v>31.269405230667417</v>
      </c>
      <c r="AE11" s="23">
        <f t="shared" si="18"/>
        <v>1120.9954052306675</v>
      </c>
      <c r="AF11" s="27">
        <f>(1/(2*LOG(3.7*$I11/'Calculation Constants'!$B$4*1000)))^2</f>
        <v>1.1458969193927592E-2</v>
      </c>
      <c r="AG11" s="19">
        <f t="shared" si="6"/>
        <v>1.274999100520025</v>
      </c>
      <c r="AH11" s="19">
        <f>IF($H11&gt;0,'Calculation Constants'!$B$9*Hydraulics!$K11^2/2/9.81/MAX($F$4:$F$253)*$H11,"")</f>
        <v>6.3421890311175441E-2</v>
      </c>
      <c r="AI11" s="19">
        <f t="shared" si="19"/>
        <v>1.3384209908312004</v>
      </c>
      <c r="AJ11" s="19">
        <f t="shared" si="7"/>
        <v>0</v>
      </c>
      <c r="AK11" s="19">
        <f t="shared" si="20"/>
        <v>29.923053064180749</v>
      </c>
      <c r="AL11" s="23">
        <f t="shared" si="21"/>
        <v>1119.6490530641809</v>
      </c>
      <c r="AM11" s="22">
        <f>(1/(2*LOG(3.7*($I11-0.008)/'Calculation Constants'!$B$5*1000)))^2</f>
        <v>1.4542845531075887E-2</v>
      </c>
      <c r="AN11" s="19">
        <f t="shared" si="22"/>
        <v>1.6249731396833385</v>
      </c>
      <c r="AO11" s="19">
        <f>IF($H11&gt;0,'Calculation Constants'!$B$9*Hydraulics!$K11^2/2/9.81/MAX($F$4:$F$253)*$H11,"")</f>
        <v>6.3421890311175441E-2</v>
      </c>
      <c r="AP11" s="19">
        <f t="shared" si="23"/>
        <v>1.6883950299945139</v>
      </c>
      <c r="AQ11" s="19">
        <f t="shared" si="8"/>
        <v>0</v>
      </c>
      <c r="AR11" s="19">
        <f t="shared" si="24"/>
        <v>27.47323479003785</v>
      </c>
      <c r="AS11" s="23">
        <f t="shared" si="25"/>
        <v>1117.199234790038</v>
      </c>
    </row>
    <row r="12" spans="1:45">
      <c r="A12" s="41" t="s">
        <v>81</v>
      </c>
      <c r="B12" s="18">
        <v>22</v>
      </c>
      <c r="C12" s="12">
        <f t="shared" si="28"/>
        <v>1111.67</v>
      </c>
      <c r="D12" s="42">
        <v>10</v>
      </c>
      <c r="E12" s="35" t="str">
        <f t="shared" si="9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6"/>
        <v>2</v>
      </c>
      <c r="I12" s="19">
        <v>1.9</v>
      </c>
      <c r="J12" s="36">
        <f>'Flow Rate Calculations'!$B$7</f>
        <v>4.0831050228310497</v>
      </c>
      <c r="K12" s="36">
        <f t="shared" si="10"/>
        <v>1.440102709245225</v>
      </c>
      <c r="L12" s="37">
        <f>$I12*$K12/'Calculation Constants'!$B$7</f>
        <v>2421411.6350140949</v>
      </c>
      <c r="M12" s="37" t="str">
        <f t="shared" si="11"/>
        <v>Greater Dynamic Pressures</v>
      </c>
      <c r="N12" s="23">
        <f t="shared" si="12"/>
        <v>26.662196812761294</v>
      </c>
      <c r="O12" s="57">
        <f t="shared" si="0"/>
        <v>25.718320263619944</v>
      </c>
      <c r="P12" s="66">
        <f>MAX(I12*1000/'Calculation Constants'!$B$14,O12*10*I12*1000/2/('Calculation Constants'!$B$12*1000*'Calculation Constants'!$B$13))</f>
        <v>11.875</v>
      </c>
      <c r="Q12" s="68">
        <f t="shared" si="1"/>
        <v>1105894.9783427313</v>
      </c>
      <c r="R12" s="27">
        <f>(1/(2*LOG(3.7*$I12/'Calculation Constants'!$B$2*1000)))^2</f>
        <v>8.6699836115820689E-3</v>
      </c>
      <c r="S12" s="19">
        <f t="shared" si="13"/>
        <v>0.96467850809376621</v>
      </c>
      <c r="T12" s="19">
        <f>IF($H12&gt;0,'Calculation Constants'!$B$9*Hydraulics!$K12^2/2/9.81/MAX($F$4:$F$253)*$H12,"")</f>
        <v>6.3421890311175441E-2</v>
      </c>
      <c r="U12" s="19">
        <f t="shared" si="14"/>
        <v>1.0281003984049417</v>
      </c>
      <c r="V12" s="19">
        <f t="shared" si="2"/>
        <v>0</v>
      </c>
      <c r="W12" s="19">
        <f t="shared" si="3"/>
        <v>26.662196812761294</v>
      </c>
      <c r="X12" s="23">
        <f t="shared" si="15"/>
        <v>1120.7931968127614</v>
      </c>
      <c r="Y12" s="22">
        <f>(1/(2*LOG(3.7*$I12/'Calculation Constants'!$B$3*1000)))^2</f>
        <v>9.7303620360708887E-3</v>
      </c>
      <c r="Z12" s="19">
        <f t="shared" si="4"/>
        <v>1.0826630767363397</v>
      </c>
      <c r="AA12" s="19">
        <f>IF($H12&gt;0,'Calculation Constants'!$B$9*Hydraulics!$K12^2/2/9.81/MAX($F$4:$F$253)*$H12,"")</f>
        <v>6.3421890311175441E-2</v>
      </c>
      <c r="AB12" s="19">
        <f t="shared" si="27"/>
        <v>1.1460849670475151</v>
      </c>
      <c r="AC12" s="19">
        <f t="shared" si="5"/>
        <v>0</v>
      </c>
      <c r="AD12" s="19">
        <f t="shared" si="17"/>
        <v>25.718320263619944</v>
      </c>
      <c r="AE12" s="23">
        <f t="shared" si="18"/>
        <v>1119.84932026362</v>
      </c>
      <c r="AF12" s="27">
        <f>(1/(2*LOG(3.7*$I12/'Calculation Constants'!$B$4*1000)))^2</f>
        <v>1.1458969193927592E-2</v>
      </c>
      <c r="AG12" s="19">
        <f t="shared" si="6"/>
        <v>1.274999100520025</v>
      </c>
      <c r="AH12" s="19">
        <f>IF($H12&gt;0,'Calculation Constants'!$B$9*Hydraulics!$K12^2/2/9.81/MAX($F$4:$F$253)*$H12,"")</f>
        <v>6.3421890311175441E-2</v>
      </c>
      <c r="AI12" s="19">
        <f t="shared" si="19"/>
        <v>1.3384209908312004</v>
      </c>
      <c r="AJ12" s="19">
        <f t="shared" si="7"/>
        <v>0</v>
      </c>
      <c r="AK12" s="19">
        <f t="shared" si="20"/>
        <v>24.179632073349467</v>
      </c>
      <c r="AL12" s="23">
        <f t="shared" si="21"/>
        <v>1118.3106320733496</v>
      </c>
      <c r="AM12" s="22">
        <f>(1/(2*LOG(3.7*($I12-0.008)/'Calculation Constants'!$B$5*1000)))^2</f>
        <v>1.4542845531075887E-2</v>
      </c>
      <c r="AN12" s="19">
        <f t="shared" si="22"/>
        <v>1.6249731396833385</v>
      </c>
      <c r="AO12" s="19">
        <f>IF($H12&gt;0,'Calculation Constants'!$B$9*Hydraulics!$K12^2/2/9.81/MAX($F$4:$F$253)*$H12,"")</f>
        <v>6.3421890311175441E-2</v>
      </c>
      <c r="AP12" s="19">
        <f t="shared" si="23"/>
        <v>1.6883950299945139</v>
      </c>
      <c r="AQ12" s="19">
        <f t="shared" si="8"/>
        <v>0</v>
      </c>
      <c r="AR12" s="19">
        <f t="shared" si="24"/>
        <v>21.379839760043296</v>
      </c>
      <c r="AS12" s="23">
        <f t="shared" si="25"/>
        <v>1115.5108397600434</v>
      </c>
    </row>
    <row r="13" spans="1:45">
      <c r="A13" s="41" t="s">
        <v>84</v>
      </c>
      <c r="B13" s="18">
        <v>228</v>
      </c>
      <c r="C13" s="12">
        <f t="shared" si="28"/>
        <v>923.48400000000004</v>
      </c>
      <c r="D13" s="42">
        <v>10</v>
      </c>
      <c r="E13" s="35" t="str">
        <f t="shared" si="9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6"/>
        <v>2</v>
      </c>
      <c r="I13" s="19">
        <v>1.9</v>
      </c>
      <c r="J13" s="36">
        <f>'Flow Rate Calculations'!$B$7</f>
        <v>4.0831050228310497</v>
      </c>
      <c r="K13" s="36">
        <f t="shared" si="10"/>
        <v>1.440102709245225</v>
      </c>
      <c r="L13" s="37">
        <f>$I13*$K13/'Calculation Constants'!$B$7</f>
        <v>2421411.6350140949</v>
      </c>
      <c r="M13" s="37" t="str">
        <f t="shared" si="11"/>
        <v>Greater Dynamic Pressures</v>
      </c>
      <c r="N13" s="23">
        <f t="shared" si="12"/>
        <v>21.868096414356614</v>
      </c>
      <c r="O13" s="57">
        <f t="shared" si="0"/>
        <v>20.806235296572595</v>
      </c>
      <c r="P13" s="66">
        <f>MAX(I13*1000/'Calculation Constants'!$B$14,O13*10*I13*1000/2/('Calculation Constants'!$B$12*1000*'Calculation Constants'!$B$13))</f>
        <v>11.875</v>
      </c>
      <c r="Q13" s="68">
        <f t="shared" si="1"/>
        <v>1105894.9783427313</v>
      </c>
      <c r="R13" s="27">
        <f>(1/(2*LOG(3.7*$I13/'Calculation Constants'!$B$2*1000)))^2</f>
        <v>8.6699836115820689E-3</v>
      </c>
      <c r="S13" s="19">
        <f t="shared" si="13"/>
        <v>0.96467850809376621</v>
      </c>
      <c r="T13" s="19">
        <f>IF($H13&gt;0,'Calculation Constants'!$B$9*Hydraulics!$K13^2/2/9.81/MAX($F$4:$F$253)*$H13,"")</f>
        <v>6.3421890311175441E-2</v>
      </c>
      <c r="U13" s="19">
        <f t="shared" si="14"/>
        <v>1.0281003984049417</v>
      </c>
      <c r="V13" s="19">
        <f t="shared" si="2"/>
        <v>0</v>
      </c>
      <c r="W13" s="19">
        <f t="shared" si="3"/>
        <v>21.868096414356614</v>
      </c>
      <c r="X13" s="23">
        <f t="shared" si="15"/>
        <v>1119.7650964143565</v>
      </c>
      <c r="Y13" s="22">
        <f>(1/(2*LOG(3.7*$I13/'Calculation Constants'!$B$3*1000)))^2</f>
        <v>9.7303620360708887E-3</v>
      </c>
      <c r="Z13" s="19">
        <f t="shared" si="4"/>
        <v>1.0826630767363397</v>
      </c>
      <c r="AA13" s="19">
        <f>IF($H13&gt;0,'Calculation Constants'!$B$9*Hydraulics!$K13^2/2/9.81/MAX($F$4:$F$253)*$H13,"")</f>
        <v>6.3421890311175441E-2</v>
      </c>
      <c r="AB13" s="19">
        <f t="shared" si="27"/>
        <v>1.1460849670475151</v>
      </c>
      <c r="AC13" s="19">
        <f t="shared" si="5"/>
        <v>0</v>
      </c>
      <c r="AD13" s="19">
        <f t="shared" si="17"/>
        <v>20.806235296572595</v>
      </c>
      <c r="AE13" s="23">
        <f t="shared" si="18"/>
        <v>1118.7032352965725</v>
      </c>
      <c r="AF13" s="27">
        <f>(1/(2*LOG(3.7*$I13/'Calculation Constants'!$B$4*1000)))^2</f>
        <v>1.1458969193927592E-2</v>
      </c>
      <c r="AG13" s="19">
        <f t="shared" si="6"/>
        <v>1.274999100520025</v>
      </c>
      <c r="AH13" s="19">
        <f>IF($H13&gt;0,'Calculation Constants'!$B$9*Hydraulics!$K13^2/2/9.81/MAX($F$4:$F$253)*$H13,"")</f>
        <v>6.3421890311175441E-2</v>
      </c>
      <c r="AI13" s="19">
        <f t="shared" si="19"/>
        <v>1.3384209908312004</v>
      </c>
      <c r="AJ13" s="19">
        <f t="shared" si="7"/>
        <v>0</v>
      </c>
      <c r="AK13" s="19">
        <f t="shared" si="20"/>
        <v>19.075211082518308</v>
      </c>
      <c r="AL13" s="23">
        <f t="shared" si="21"/>
        <v>1116.9722110825182</v>
      </c>
      <c r="AM13" s="22">
        <f>(1/(2*LOG(3.7*($I13-0.008)/'Calculation Constants'!$B$5*1000)))^2</f>
        <v>1.4542845531075887E-2</v>
      </c>
      <c r="AN13" s="19">
        <f t="shared" si="22"/>
        <v>1.6249731396833385</v>
      </c>
      <c r="AO13" s="19">
        <f>IF($H13&gt;0,'Calculation Constants'!$B$9*Hydraulics!$K13^2/2/9.81/MAX($F$4:$F$253)*$H13,"")</f>
        <v>6.3421890311175441E-2</v>
      </c>
      <c r="AP13" s="19">
        <f t="shared" si="23"/>
        <v>1.6883950299945139</v>
      </c>
      <c r="AQ13" s="19">
        <f t="shared" si="8"/>
        <v>0</v>
      </c>
      <c r="AR13" s="19">
        <f t="shared" si="24"/>
        <v>15.925444730048866</v>
      </c>
      <c r="AS13" s="23">
        <f t="shared" si="25"/>
        <v>1113.8224447300488</v>
      </c>
    </row>
    <row r="14" spans="1:45">
      <c r="A14" s="41"/>
      <c r="B14" s="18"/>
      <c r="C14" s="12"/>
      <c r="D14" s="42"/>
      <c r="E14" s="35" t="str">
        <f t="shared" si="9"/>
        <v>Reservoir</v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6"/>
        <v>2</v>
      </c>
      <c r="I14" s="19">
        <v>1.9</v>
      </c>
      <c r="J14" s="36">
        <f>'Flow Rate Calculations'!$B$7</f>
        <v>4.0831050228310497</v>
      </c>
      <c r="K14" s="36">
        <f t="shared" si="10"/>
        <v>1.440102709245225</v>
      </c>
      <c r="L14" s="37">
        <f>$I14*$K14/'Calculation Constants'!$B$7</f>
        <v>2421411.6350140949</v>
      </c>
      <c r="M14" s="37">
        <f t="shared" si="11"/>
        <v>10</v>
      </c>
      <c r="N14" s="23">
        <f t="shared" si="12"/>
        <v>10</v>
      </c>
      <c r="O14" s="57">
        <f t="shared" si="0"/>
        <v>10</v>
      </c>
      <c r="P14" s="66">
        <f>MAX(I14*1000/'Calculation Constants'!$B$14,O14*10*I14*1000/2/('Calculation Constants'!$B$12*1000*'Calculation Constants'!$B$13))</f>
        <v>11.875</v>
      </c>
      <c r="Q14" s="68">
        <f t="shared" si="1"/>
        <v>1105894.9783427313</v>
      </c>
      <c r="R14" s="27">
        <f>(1/(2*LOG(3.7*$I14/'Calculation Constants'!$B$2*1000)))^2</f>
        <v>8.6699836115820689E-3</v>
      </c>
      <c r="S14" s="19">
        <f t="shared" si="13"/>
        <v>0.96467850809376621</v>
      </c>
      <c r="T14" s="19">
        <f>IF($H14&gt;0,'Calculation Constants'!$B$9*Hydraulics!$K14^2/2/9.81/MAX($F$4:$F$253)*$H14,"")</f>
        <v>6.3421890311175441E-2</v>
      </c>
      <c r="U14" s="19">
        <f t="shared" si="14"/>
        <v>1.0281003984049417</v>
      </c>
      <c r="V14" s="19">
        <f t="shared" si="2"/>
        <v>0</v>
      </c>
      <c r="W14" s="19">
        <f t="shared" si="3"/>
        <v>10</v>
      </c>
      <c r="X14" s="23">
        <f t="shared" si="15"/>
        <v>1111.67</v>
      </c>
      <c r="Y14" s="22">
        <f>(1/(2*LOG(3.7*$I14/'Calculation Constants'!$B$3*1000)))^2</f>
        <v>9.7303620360708887E-3</v>
      </c>
      <c r="Z14" s="19">
        <f t="shared" si="4"/>
        <v>1.0826630767363397</v>
      </c>
      <c r="AA14" s="19">
        <f>IF($H14&gt;0,'Calculation Constants'!$B$9*Hydraulics!$K14^2/2/9.81/MAX($F$4:$F$253)*$H14,"")</f>
        <v>6.3421890311175441E-2</v>
      </c>
      <c r="AB14" s="19">
        <f t="shared" si="27"/>
        <v>1.1460849670475151</v>
      </c>
      <c r="AC14" s="19">
        <f t="shared" si="5"/>
        <v>0</v>
      </c>
      <c r="AD14" s="19">
        <f t="shared" si="17"/>
        <v>10</v>
      </c>
      <c r="AE14" s="23">
        <f t="shared" si="18"/>
        <v>1111.67</v>
      </c>
      <c r="AF14" s="27">
        <f>(1/(2*LOG(3.7*$I14/'Calculation Constants'!$B$4*1000)))^2</f>
        <v>1.1458969193927592E-2</v>
      </c>
      <c r="AG14" s="19">
        <f t="shared" si="6"/>
        <v>1.274999100520025</v>
      </c>
      <c r="AH14" s="19">
        <f>IF($H14&gt;0,'Calculation Constants'!$B$9*Hydraulics!$K14^2/2/9.81/MAX($F$4:$F$253)*$H14,"")</f>
        <v>6.3421890311175441E-2</v>
      </c>
      <c r="AI14" s="19">
        <f t="shared" si="19"/>
        <v>1.3384209908312004</v>
      </c>
      <c r="AJ14" s="19">
        <f t="shared" si="7"/>
        <v>0</v>
      </c>
      <c r="AK14" s="19">
        <f t="shared" si="20"/>
        <v>10</v>
      </c>
      <c r="AL14" s="23">
        <f t="shared" si="21"/>
        <v>1111.67</v>
      </c>
      <c r="AM14" s="22">
        <f>(1/(2*LOG(3.7*($I14-0.008)/'Calculation Constants'!$B$5*1000)))^2</f>
        <v>1.4542845531075887E-2</v>
      </c>
      <c r="AN14" s="19">
        <f t="shared" si="22"/>
        <v>1.6249731396833385</v>
      </c>
      <c r="AO14" s="19">
        <f>IF($H14&gt;0,'Calculation Constants'!$B$9*Hydraulics!$K14^2/2/9.81/MAX($F$4:$F$253)*$H14,"")</f>
        <v>6.3421890311175441E-2</v>
      </c>
      <c r="AP14" s="19">
        <f t="shared" si="23"/>
        <v>1.6883950299945139</v>
      </c>
      <c r="AQ14" s="19">
        <f t="shared" si="8"/>
        <v>0</v>
      </c>
      <c r="AR14" s="19">
        <f t="shared" si="24"/>
        <v>10</v>
      </c>
      <c r="AS14" s="23">
        <f t="shared" si="25"/>
        <v>1111.67</v>
      </c>
    </row>
    <row r="15" spans="1:45">
      <c r="A15" s="74" t="s">
        <v>91</v>
      </c>
      <c r="B15" s="75">
        <v>330</v>
      </c>
      <c r="C15" s="76">
        <f t="shared" si="28"/>
        <v>1146.405</v>
      </c>
      <c r="D15" s="77">
        <v>10</v>
      </c>
      <c r="E15" s="35" t="str">
        <f t="shared" si="9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6"/>
        <v>2</v>
      </c>
      <c r="I15" s="19">
        <v>1.9</v>
      </c>
      <c r="J15" s="36">
        <f>'Flow Rate Calculations'!$B$7</f>
        <v>4.0831050228310497</v>
      </c>
      <c r="K15" s="36">
        <f t="shared" si="10"/>
        <v>1.440102709245225</v>
      </c>
      <c r="L15" s="37">
        <f>$I15*$K15/'Calculation Constants'!$B$7</f>
        <v>2421411.6350140949</v>
      </c>
      <c r="M15" s="37">
        <f t="shared" si="11"/>
        <v>15.718000000000075</v>
      </c>
      <c r="N15" s="23">
        <f t="shared" si="12"/>
        <v>14.689899601595243</v>
      </c>
      <c r="O15" s="57">
        <f t="shared" si="0"/>
        <v>15.718000000000075</v>
      </c>
      <c r="P15" s="66">
        <f>MAX(I15*1000/'Calculation Constants'!$B$14,O15*10*I15*1000/2/('Calculation Constants'!$B$12*1000*'Calculation Constants'!$B$13))</f>
        <v>11.875</v>
      </c>
      <c r="Q15" s="68">
        <f t="shared" si="1"/>
        <v>1105894.9783427313</v>
      </c>
      <c r="R15" s="27">
        <f>(1/(2*LOG(3.7*$I15/'Calculation Constants'!$B$2*1000)))^2</f>
        <v>8.6699836115820689E-3</v>
      </c>
      <c r="S15" s="19">
        <f t="shared" si="13"/>
        <v>0.96467850809376621</v>
      </c>
      <c r="T15" s="19">
        <f>IF($H15&gt;0,'Calculation Constants'!$B$9*Hydraulics!$K15^2/2/9.81/MAX($F$4:$F$253)*$H15,"")</f>
        <v>6.3421890311175441E-2</v>
      </c>
      <c r="U15" s="19">
        <f t="shared" si="14"/>
        <v>1.0281003984049417</v>
      </c>
      <c r="V15" s="19">
        <f t="shared" si="2"/>
        <v>0</v>
      </c>
      <c r="W15" s="19">
        <f t="shared" si="3"/>
        <v>14.689899601595243</v>
      </c>
      <c r="X15" s="23">
        <f t="shared" si="15"/>
        <v>1110.6418996015952</v>
      </c>
      <c r="Y15" s="22">
        <f>(1/(2*LOG(3.7*$I15/'Calculation Constants'!$B$3*1000)))^2</f>
        <v>9.7303620360708887E-3</v>
      </c>
      <c r="Z15" s="19">
        <f t="shared" si="4"/>
        <v>1.0826630767363397</v>
      </c>
      <c r="AA15" s="19">
        <f>IF($H15&gt;0,'Calculation Constants'!$B$9*Hydraulics!$K15^2/2/9.81/MAX($F$4:$F$253)*$H15,"")</f>
        <v>6.3421890311175441E-2</v>
      </c>
      <c r="AB15" s="19">
        <f t="shared" si="27"/>
        <v>1.1460849670475151</v>
      </c>
      <c r="AC15" s="19">
        <f t="shared" si="5"/>
        <v>0</v>
      </c>
      <c r="AD15" s="19">
        <f t="shared" si="17"/>
        <v>14.571915032952575</v>
      </c>
      <c r="AE15" s="23">
        <f t="shared" si="18"/>
        <v>1110.5239150329526</v>
      </c>
      <c r="AF15" s="27">
        <f>(1/(2*LOG(3.7*$I15/'Calculation Constants'!$B$4*1000)))^2</f>
        <v>1.1458969193927592E-2</v>
      </c>
      <c r="AG15" s="19">
        <f t="shared" si="6"/>
        <v>1.274999100520025</v>
      </c>
      <c r="AH15" s="19">
        <f>IF($H15&gt;0,'Calculation Constants'!$B$9*Hydraulics!$K15^2/2/9.81/MAX($F$4:$F$253)*$H15,"")</f>
        <v>6.3421890311175441E-2</v>
      </c>
      <c r="AI15" s="19">
        <f t="shared" si="19"/>
        <v>1.3384209908312004</v>
      </c>
      <c r="AJ15" s="19">
        <f t="shared" si="7"/>
        <v>0</v>
      </c>
      <c r="AK15" s="19">
        <f t="shared" si="20"/>
        <v>14.379579009168765</v>
      </c>
      <c r="AL15" s="23">
        <f t="shared" si="21"/>
        <v>1110.3315790091688</v>
      </c>
      <c r="AM15" s="22">
        <f>(1/(2*LOG(3.7*($I15-0.008)/'Calculation Constants'!$B$5*1000)))^2</f>
        <v>1.4542845531075887E-2</v>
      </c>
      <c r="AN15" s="19">
        <f t="shared" si="22"/>
        <v>1.6249731396833385</v>
      </c>
      <c r="AO15" s="19">
        <f>IF($H15&gt;0,'Calculation Constants'!$B$9*Hydraulics!$K15^2/2/9.81/MAX($F$4:$F$253)*$H15,"")</f>
        <v>6.3421890311175441E-2</v>
      </c>
      <c r="AP15" s="19">
        <f t="shared" si="23"/>
        <v>1.6883950299945139</v>
      </c>
      <c r="AQ15" s="19">
        <f t="shared" si="8"/>
        <v>0</v>
      </c>
      <c r="AR15" s="19">
        <f t="shared" si="24"/>
        <v>14.029604970005494</v>
      </c>
      <c r="AS15" s="23">
        <f t="shared" si="25"/>
        <v>1109.9816049700055</v>
      </c>
    </row>
    <row r="16" spans="1:45" ht="15.75" thickBot="1">
      <c r="A16" s="43" t="s">
        <v>19</v>
      </c>
      <c r="B16" s="44">
        <v>500</v>
      </c>
      <c r="C16" s="45">
        <f t="shared" si="28"/>
        <v>929.62900000000002</v>
      </c>
      <c r="D16" s="46">
        <v>10</v>
      </c>
      <c r="E16" s="35" t="str">
        <f t="shared" si="9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6"/>
        <v>2</v>
      </c>
      <c r="I16" s="19">
        <v>1.9</v>
      </c>
      <c r="J16" s="36">
        <f>'Flow Rate Calculations'!$B$7</f>
        <v>4.0831050228310497</v>
      </c>
      <c r="K16" s="36">
        <f t="shared" si="10"/>
        <v>1.440102709245225</v>
      </c>
      <c r="L16" s="37">
        <f>$I16*$K16/'Calculation Constants'!$B$7</f>
        <v>2421411.6350140949</v>
      </c>
      <c r="M16" s="37">
        <f t="shared" si="11"/>
        <v>21.563000000000102</v>
      </c>
      <c r="N16" s="23">
        <f t="shared" si="12"/>
        <v>19.50679920319044</v>
      </c>
      <c r="O16" s="57">
        <f t="shared" si="0"/>
        <v>21.563000000000102</v>
      </c>
      <c r="P16" s="66">
        <f>MAX(I16*1000/'Calculation Constants'!$B$14,O16*10*I16*1000/2/('Calculation Constants'!$B$12*1000*'Calculation Constants'!$B$13))</f>
        <v>11.875</v>
      </c>
      <c r="Q16" s="68">
        <f t="shared" si="1"/>
        <v>1105894.9783427313</v>
      </c>
      <c r="R16" s="27">
        <f>(1/(2*LOG(3.7*$I16/'Calculation Constants'!$B$2*1000)))^2</f>
        <v>8.6699836115820689E-3</v>
      </c>
      <c r="S16" s="19">
        <f t="shared" si="13"/>
        <v>0.96467850809376621</v>
      </c>
      <c r="T16" s="19">
        <f>IF($H16&gt;0,'Calculation Constants'!$B$9*Hydraulics!$K16^2/2/9.81/MAX($F$4:$F$253)*$H16,"")</f>
        <v>6.3421890311175441E-2</v>
      </c>
      <c r="U16" s="19">
        <f t="shared" si="14"/>
        <v>1.0281003984049417</v>
      </c>
      <c r="V16" s="19">
        <f t="shared" si="2"/>
        <v>0</v>
      </c>
      <c r="W16" s="19">
        <f t="shared" si="3"/>
        <v>19.50679920319044</v>
      </c>
      <c r="X16" s="23">
        <f t="shared" si="15"/>
        <v>1109.6137992031904</v>
      </c>
      <c r="Y16" s="22">
        <f>(1/(2*LOG(3.7*$I16/'Calculation Constants'!$B$3*1000)))^2</f>
        <v>9.7303620360708887E-3</v>
      </c>
      <c r="Z16" s="19">
        <f t="shared" si="4"/>
        <v>1.0826630767363397</v>
      </c>
      <c r="AA16" s="19">
        <f>IF($H16&gt;0,'Calculation Constants'!$B$9*Hydraulics!$K16^2/2/9.81/MAX($F$4:$F$253)*$H16,"")</f>
        <v>6.3421890311175441E-2</v>
      </c>
      <c r="AB16" s="19">
        <f t="shared" si="27"/>
        <v>1.1460849670475151</v>
      </c>
      <c r="AC16" s="19">
        <f t="shared" si="5"/>
        <v>0</v>
      </c>
      <c r="AD16" s="19">
        <f t="shared" si="17"/>
        <v>19.270830065905102</v>
      </c>
      <c r="AE16" s="23">
        <f t="shared" si="18"/>
        <v>1109.3778300659051</v>
      </c>
      <c r="AF16" s="27">
        <f>(1/(2*LOG(3.7*$I16/'Calculation Constants'!$B$4*1000)))^2</f>
        <v>1.1458969193927592E-2</v>
      </c>
      <c r="AG16" s="19">
        <f t="shared" si="6"/>
        <v>1.274999100520025</v>
      </c>
      <c r="AH16" s="19">
        <f>IF($H16&gt;0,'Calculation Constants'!$B$9*Hydraulics!$K16^2/2/9.81/MAX($F$4:$F$253)*$H16,"")</f>
        <v>6.3421890311175441E-2</v>
      </c>
      <c r="AI16" s="19">
        <f t="shared" si="19"/>
        <v>1.3384209908312004</v>
      </c>
      <c r="AJ16" s="19">
        <f t="shared" si="7"/>
        <v>0</v>
      </c>
      <c r="AK16" s="19">
        <f t="shared" si="20"/>
        <v>18.886158018337483</v>
      </c>
      <c r="AL16" s="23">
        <f t="shared" si="21"/>
        <v>1108.9931580183375</v>
      </c>
      <c r="AM16" s="22">
        <f>(1/(2*LOG(3.7*($I16-0.008)/'Calculation Constants'!$B$5*1000)))^2</f>
        <v>1.4542845531075887E-2</v>
      </c>
      <c r="AN16" s="19">
        <f t="shared" si="22"/>
        <v>1.6249731396833385</v>
      </c>
      <c r="AO16" s="19">
        <f>IF($H16&gt;0,'Calculation Constants'!$B$9*Hydraulics!$K16^2/2/9.81/MAX($F$4:$F$253)*$H16,"")</f>
        <v>6.3421890311175441E-2</v>
      </c>
      <c r="AP16" s="19">
        <f t="shared" si="23"/>
        <v>1.6883950299945139</v>
      </c>
      <c r="AQ16" s="19">
        <f t="shared" si="8"/>
        <v>0</v>
      </c>
      <c r="AR16" s="19">
        <f t="shared" si="24"/>
        <v>18.18620994001094</v>
      </c>
      <c r="AS16" s="23">
        <f t="shared" si="25"/>
        <v>1108.2932099400109</v>
      </c>
    </row>
    <row r="17" spans="1:45">
      <c r="A17" s="52"/>
      <c r="E17" s="35" t="str">
        <f t="shared" si="9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6"/>
        <v>2</v>
      </c>
      <c r="I17" s="19">
        <v>1.9</v>
      </c>
      <c r="J17" s="36">
        <f>'Flow Rate Calculations'!$B$7</f>
        <v>4.0831050228310497</v>
      </c>
      <c r="K17" s="36">
        <f t="shared" si="10"/>
        <v>1.440102709245225</v>
      </c>
      <c r="L17" s="37">
        <f>$I17*$K17/'Calculation Constants'!$B$7</f>
        <v>2421411.6350140949</v>
      </c>
      <c r="M17" s="37">
        <f t="shared" si="11"/>
        <v>25.889000000000124</v>
      </c>
      <c r="N17" s="23">
        <f t="shared" si="12"/>
        <v>22.80469880478563</v>
      </c>
      <c r="O17" s="57">
        <f t="shared" si="0"/>
        <v>25.889000000000124</v>
      </c>
      <c r="P17" s="66">
        <f>MAX(I17*1000/'Calculation Constants'!$B$14,O17*10*I17*1000/2/('Calculation Constants'!$B$12*1000*'Calculation Constants'!$B$13))</f>
        <v>11.875</v>
      </c>
      <c r="Q17" s="68">
        <f t="shared" si="1"/>
        <v>1105894.9783427313</v>
      </c>
      <c r="R17" s="27">
        <f>(1/(2*LOG(3.7*$I17/'Calculation Constants'!$B$2*1000)))^2</f>
        <v>8.6699836115820689E-3</v>
      </c>
      <c r="S17" s="19">
        <f t="shared" si="13"/>
        <v>0.96467850809376621</v>
      </c>
      <c r="T17" s="19">
        <f>IF($H17&gt;0,'Calculation Constants'!$B$9*Hydraulics!$K17^2/2/9.81/MAX($F$4:$F$253)*$H17,"")</f>
        <v>6.3421890311175441E-2</v>
      </c>
      <c r="U17" s="19">
        <f t="shared" si="14"/>
        <v>1.0281003984049417</v>
      </c>
      <c r="V17" s="19">
        <f t="shared" si="2"/>
        <v>0</v>
      </c>
      <c r="W17" s="19">
        <f t="shared" si="3"/>
        <v>22.80469880478563</v>
      </c>
      <c r="X17" s="23">
        <f t="shared" si="15"/>
        <v>1108.5856988047856</v>
      </c>
      <c r="Y17" s="22">
        <f>(1/(2*LOG(3.7*$I17/'Calculation Constants'!$B$3*1000)))^2</f>
        <v>9.7303620360708887E-3</v>
      </c>
      <c r="Z17" s="19">
        <f t="shared" si="4"/>
        <v>1.0826630767363397</v>
      </c>
      <c r="AA17" s="19">
        <f>IF($H17&gt;0,'Calculation Constants'!$B$9*Hydraulics!$K17^2/2/9.81/MAX($F$4:$F$253)*$H17,"")</f>
        <v>6.3421890311175441E-2</v>
      </c>
      <c r="AB17" s="19">
        <f t="shared" si="27"/>
        <v>1.1460849670475151</v>
      </c>
      <c r="AC17" s="19">
        <f t="shared" si="5"/>
        <v>0</v>
      </c>
      <c r="AD17" s="19">
        <f t="shared" si="17"/>
        <v>22.450745098857624</v>
      </c>
      <c r="AE17" s="23">
        <f t="shared" si="18"/>
        <v>1108.2317450988576</v>
      </c>
      <c r="AF17" s="27">
        <f>(1/(2*LOG(3.7*$I17/'Calculation Constants'!$B$4*1000)))^2</f>
        <v>1.1458969193927592E-2</v>
      </c>
      <c r="AG17" s="19">
        <f t="shared" si="6"/>
        <v>1.274999100520025</v>
      </c>
      <c r="AH17" s="19">
        <f>IF($H17&gt;0,'Calculation Constants'!$B$9*Hydraulics!$K17^2/2/9.81/MAX($F$4:$F$253)*$H17,"")</f>
        <v>6.3421890311175441E-2</v>
      </c>
      <c r="AI17" s="19">
        <f t="shared" si="19"/>
        <v>1.3384209908312004</v>
      </c>
      <c r="AJ17" s="19">
        <f t="shared" si="7"/>
        <v>0</v>
      </c>
      <c r="AK17" s="19">
        <f t="shared" si="20"/>
        <v>21.873737027506195</v>
      </c>
      <c r="AL17" s="23">
        <f t="shared" si="21"/>
        <v>1107.6547370275061</v>
      </c>
      <c r="AM17" s="22">
        <f>(1/(2*LOG(3.7*($I17-0.008)/'Calculation Constants'!$B$5*1000)))^2</f>
        <v>1.4542845531075887E-2</v>
      </c>
      <c r="AN17" s="19">
        <f t="shared" si="22"/>
        <v>1.6249731396833385</v>
      </c>
      <c r="AO17" s="19">
        <f>IF($H17&gt;0,'Calculation Constants'!$B$9*Hydraulics!$K17^2/2/9.81/MAX($F$4:$F$253)*$H17,"")</f>
        <v>6.3421890311175441E-2</v>
      </c>
      <c r="AP17" s="19">
        <f t="shared" si="23"/>
        <v>1.6883950299945139</v>
      </c>
      <c r="AQ17" s="19">
        <f t="shared" si="8"/>
        <v>0</v>
      </c>
      <c r="AR17" s="19">
        <f t="shared" si="24"/>
        <v>20.823814910016381</v>
      </c>
      <c r="AS17" s="23">
        <f t="shared" si="25"/>
        <v>1106.6048149100163</v>
      </c>
    </row>
    <row r="18" spans="1:45">
      <c r="C18" s="11">
        <f>C14-C15</f>
        <v>-1146.405</v>
      </c>
      <c r="E18" s="35" t="str">
        <f t="shared" si="9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6"/>
        <v>2</v>
      </c>
      <c r="I18" s="19">
        <v>1.9</v>
      </c>
      <c r="J18" s="36">
        <f>'Flow Rate Calculations'!$B$7</f>
        <v>4.0831050228310497</v>
      </c>
      <c r="K18" s="36">
        <f t="shared" si="10"/>
        <v>1.440102709245225</v>
      </c>
      <c r="L18" s="37">
        <f>$I18*$K18/'Calculation Constants'!$B$7</f>
        <v>2421411.6350140949</v>
      </c>
      <c r="M18" s="37">
        <f t="shared" si="11"/>
        <v>29.779999999999973</v>
      </c>
      <c r="N18" s="23">
        <f t="shared" si="12"/>
        <v>25.667598406380648</v>
      </c>
      <c r="O18" s="57">
        <f t="shared" si="0"/>
        <v>29.779999999999973</v>
      </c>
      <c r="P18" s="66">
        <f>MAX(I18*1000/'Calculation Constants'!$B$14,O18*10*I18*1000/2/('Calculation Constants'!$B$12*1000*'Calculation Constants'!$B$13))</f>
        <v>11.875</v>
      </c>
      <c r="Q18" s="68">
        <f t="shared" si="1"/>
        <v>1105894.9783427313</v>
      </c>
      <c r="R18" s="27">
        <f>(1/(2*LOG(3.7*$I18/'Calculation Constants'!$B$2*1000)))^2</f>
        <v>8.6699836115820689E-3</v>
      </c>
      <c r="S18" s="19">
        <f t="shared" si="13"/>
        <v>0.96467850809376621</v>
      </c>
      <c r="T18" s="19">
        <f>IF($H18&gt;0,'Calculation Constants'!$B$9*Hydraulics!$K18^2/2/9.81/MAX($F$4:$F$253)*$H18,"")</f>
        <v>6.3421890311175441E-2</v>
      </c>
      <c r="U18" s="19">
        <f t="shared" si="14"/>
        <v>1.0281003984049417</v>
      </c>
      <c r="V18" s="19">
        <f t="shared" si="2"/>
        <v>0</v>
      </c>
      <c r="W18" s="19">
        <f t="shared" si="3"/>
        <v>25.667598406380648</v>
      </c>
      <c r="X18" s="23">
        <f t="shared" si="15"/>
        <v>1107.5575984063807</v>
      </c>
      <c r="Y18" s="22">
        <f>(1/(2*LOG(3.7*$I18/'Calculation Constants'!$B$3*1000)))^2</f>
        <v>9.7303620360708887E-3</v>
      </c>
      <c r="Z18" s="19">
        <f t="shared" si="4"/>
        <v>1.0826630767363397</v>
      </c>
      <c r="AA18" s="19">
        <f>IF($H18&gt;0,'Calculation Constants'!$B$9*Hydraulics!$K18^2/2/9.81/MAX($F$4:$F$253)*$H18,"")</f>
        <v>6.3421890311175441E-2</v>
      </c>
      <c r="AB18" s="19">
        <f t="shared" si="27"/>
        <v>1.1460849670475151</v>
      </c>
      <c r="AC18" s="19">
        <f t="shared" si="5"/>
        <v>0</v>
      </c>
      <c r="AD18" s="19">
        <f t="shared" si="17"/>
        <v>25.195660131809973</v>
      </c>
      <c r="AE18" s="23">
        <f t="shared" si="18"/>
        <v>1107.0856601318101</v>
      </c>
      <c r="AF18" s="27">
        <f>(1/(2*LOG(3.7*$I18/'Calculation Constants'!$B$4*1000)))^2</f>
        <v>1.1458969193927592E-2</v>
      </c>
      <c r="AG18" s="19">
        <f t="shared" si="6"/>
        <v>1.274999100520025</v>
      </c>
      <c r="AH18" s="19">
        <f>IF($H18&gt;0,'Calculation Constants'!$B$9*Hydraulics!$K18^2/2/9.81/MAX($F$4:$F$253)*$H18,"")</f>
        <v>6.3421890311175441E-2</v>
      </c>
      <c r="AI18" s="19">
        <f t="shared" si="19"/>
        <v>1.3384209908312004</v>
      </c>
      <c r="AJ18" s="19">
        <f t="shared" si="7"/>
        <v>0</v>
      </c>
      <c r="AK18" s="19">
        <f t="shared" si="20"/>
        <v>24.426316036674734</v>
      </c>
      <c r="AL18" s="23">
        <f t="shared" si="21"/>
        <v>1106.3163160366748</v>
      </c>
      <c r="AM18" s="22">
        <f>(1/(2*LOG(3.7*($I18-0.008)/'Calculation Constants'!$B$5*1000)))^2</f>
        <v>1.4542845531075887E-2</v>
      </c>
      <c r="AN18" s="19">
        <f t="shared" si="22"/>
        <v>1.6249731396833385</v>
      </c>
      <c r="AO18" s="19">
        <f>IF($H18&gt;0,'Calculation Constants'!$B$9*Hydraulics!$K18^2/2/9.81/MAX($F$4:$F$253)*$H18,"")</f>
        <v>6.3421890311175441E-2</v>
      </c>
      <c r="AP18" s="19">
        <f t="shared" si="23"/>
        <v>1.6883950299945139</v>
      </c>
      <c r="AQ18" s="19">
        <f t="shared" si="8"/>
        <v>0</v>
      </c>
      <c r="AR18" s="19">
        <f t="shared" si="24"/>
        <v>23.026419880021649</v>
      </c>
      <c r="AS18" s="23">
        <f t="shared" si="25"/>
        <v>1104.9164198800217</v>
      </c>
    </row>
    <row r="19" spans="1:45">
      <c r="E19" s="35" t="str">
        <f t="shared" si="9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6"/>
        <v>2</v>
      </c>
      <c r="I19" s="19">
        <v>1.9</v>
      </c>
      <c r="J19" s="36">
        <f>'Flow Rate Calculations'!$B$7</f>
        <v>4.0831050228310497</v>
      </c>
      <c r="K19" s="36">
        <f t="shared" si="10"/>
        <v>1.440102709245225</v>
      </c>
      <c r="L19" s="37">
        <f>$I19*$K19/'Calculation Constants'!$B$7</f>
        <v>2421411.6350140949</v>
      </c>
      <c r="M19" s="37">
        <f t="shared" si="11"/>
        <v>33.733000000000175</v>
      </c>
      <c r="N19" s="23">
        <f t="shared" si="12"/>
        <v>28.592498007976019</v>
      </c>
      <c r="O19" s="57">
        <f t="shared" si="0"/>
        <v>33.733000000000175</v>
      </c>
      <c r="P19" s="66">
        <f>MAX(I19*1000/'Calculation Constants'!$B$14,O19*10*I19*1000/2/('Calculation Constants'!$B$12*1000*'Calculation Constants'!$B$13))</f>
        <v>11.875</v>
      </c>
      <c r="Q19" s="68">
        <f t="shared" si="1"/>
        <v>1105894.9783427313</v>
      </c>
      <c r="R19" s="27">
        <f>(1/(2*LOG(3.7*$I19/'Calculation Constants'!$B$2*1000)))^2</f>
        <v>8.6699836115820689E-3</v>
      </c>
      <c r="S19" s="19">
        <f t="shared" si="13"/>
        <v>0.96467850809376621</v>
      </c>
      <c r="T19" s="19">
        <f>IF($H19&gt;0,'Calculation Constants'!$B$9*Hydraulics!$K19^2/2/9.81/MAX($F$4:$F$253)*$H19,"")</f>
        <v>6.3421890311175441E-2</v>
      </c>
      <c r="U19" s="19">
        <f t="shared" si="14"/>
        <v>1.0281003984049417</v>
      </c>
      <c r="V19" s="19">
        <f t="shared" si="2"/>
        <v>0</v>
      </c>
      <c r="W19" s="19">
        <f t="shared" si="3"/>
        <v>28.592498007976019</v>
      </c>
      <c r="X19" s="23">
        <f t="shared" si="15"/>
        <v>1106.5294980079759</v>
      </c>
      <c r="Y19" s="22">
        <f>(1/(2*LOG(3.7*$I19/'Calculation Constants'!$B$3*1000)))^2</f>
        <v>9.7303620360708887E-3</v>
      </c>
      <c r="Z19" s="19">
        <f t="shared" si="4"/>
        <v>1.0826630767363397</v>
      </c>
      <c r="AA19" s="19">
        <f>IF($H19&gt;0,'Calculation Constants'!$B$9*Hydraulics!$K19^2/2/9.81/MAX($F$4:$F$253)*$H19,"")</f>
        <v>6.3421890311175441E-2</v>
      </c>
      <c r="AB19" s="19">
        <f t="shared" si="27"/>
        <v>1.1460849670475151</v>
      </c>
      <c r="AC19" s="19">
        <f t="shared" si="5"/>
        <v>0</v>
      </c>
      <c r="AD19" s="19">
        <f t="shared" si="17"/>
        <v>28.002575164762675</v>
      </c>
      <c r="AE19" s="23">
        <f t="shared" si="18"/>
        <v>1105.9395751647626</v>
      </c>
      <c r="AF19" s="27">
        <f>(1/(2*LOG(3.7*$I19/'Calculation Constants'!$B$4*1000)))^2</f>
        <v>1.1458969193927592E-2</v>
      </c>
      <c r="AG19" s="19">
        <f t="shared" si="6"/>
        <v>1.274999100520025</v>
      </c>
      <c r="AH19" s="19">
        <f>IF($H19&gt;0,'Calculation Constants'!$B$9*Hydraulics!$K19^2/2/9.81/MAX($F$4:$F$253)*$H19,"")</f>
        <v>6.3421890311175441E-2</v>
      </c>
      <c r="AI19" s="19">
        <f t="shared" si="19"/>
        <v>1.3384209908312004</v>
      </c>
      <c r="AJ19" s="19">
        <f t="shared" si="7"/>
        <v>0</v>
      </c>
      <c r="AK19" s="19">
        <f t="shared" si="20"/>
        <v>27.040895045843627</v>
      </c>
      <c r="AL19" s="23">
        <f t="shared" si="21"/>
        <v>1104.9778950458435</v>
      </c>
      <c r="AM19" s="22">
        <f>(1/(2*LOG(3.7*($I19-0.008)/'Calculation Constants'!$B$5*1000)))^2</f>
        <v>1.4542845531075887E-2</v>
      </c>
      <c r="AN19" s="19">
        <f t="shared" si="22"/>
        <v>1.6249731396833385</v>
      </c>
      <c r="AO19" s="19">
        <f>IF($H19&gt;0,'Calculation Constants'!$B$9*Hydraulics!$K19^2/2/9.81/MAX($F$4:$F$253)*$H19,"")</f>
        <v>6.3421890311175441E-2</v>
      </c>
      <c r="AP19" s="19">
        <f t="shared" si="23"/>
        <v>1.6883950299945139</v>
      </c>
      <c r="AQ19" s="19">
        <f t="shared" si="8"/>
        <v>0</v>
      </c>
      <c r="AR19" s="19">
        <f t="shared" si="24"/>
        <v>25.29102485002727</v>
      </c>
      <c r="AS19" s="23">
        <f t="shared" si="25"/>
        <v>1103.2280248500272</v>
      </c>
    </row>
    <row r="20" spans="1:45">
      <c r="E20" s="35" t="str">
        <f t="shared" si="9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6"/>
        <v>2</v>
      </c>
      <c r="I20" s="19">
        <v>1.9</v>
      </c>
      <c r="J20" s="36">
        <f>'Flow Rate Calculations'!$B$7</f>
        <v>4.0831050228310497</v>
      </c>
      <c r="K20" s="36">
        <f t="shared" si="10"/>
        <v>1.440102709245225</v>
      </c>
      <c r="L20" s="37">
        <f>$I20*$K20/'Calculation Constants'!$B$7</f>
        <v>2421411.6350140949</v>
      </c>
      <c r="M20" s="37">
        <f t="shared" si="11"/>
        <v>36.779999999999973</v>
      </c>
      <c r="N20" s="23">
        <f t="shared" si="12"/>
        <v>30.611397609570986</v>
      </c>
      <c r="O20" s="57">
        <f t="shared" si="0"/>
        <v>36.779999999999973</v>
      </c>
      <c r="P20" s="66">
        <f>MAX(I20*1000/'Calculation Constants'!$B$14,O20*10*I20*1000/2/('Calculation Constants'!$B$12*1000*'Calculation Constants'!$B$13))</f>
        <v>11.875</v>
      </c>
      <c r="Q20" s="68">
        <f t="shared" si="1"/>
        <v>1105894.9783427313</v>
      </c>
      <c r="R20" s="27">
        <f>(1/(2*LOG(3.7*$I20/'Calculation Constants'!$B$2*1000)))^2</f>
        <v>8.6699836115820689E-3</v>
      </c>
      <c r="S20" s="19">
        <f t="shared" si="13"/>
        <v>0.96467850809376621</v>
      </c>
      <c r="T20" s="19">
        <f>IF($H20&gt;0,'Calculation Constants'!$B$9*Hydraulics!$K20^2/2/9.81/MAX($F$4:$F$253)*$H20,"")</f>
        <v>6.3421890311175441E-2</v>
      </c>
      <c r="U20" s="19">
        <f t="shared" si="14"/>
        <v>1.0281003984049417</v>
      </c>
      <c r="V20" s="19">
        <f t="shared" si="2"/>
        <v>0</v>
      </c>
      <c r="W20" s="19">
        <f t="shared" si="3"/>
        <v>30.611397609570986</v>
      </c>
      <c r="X20" s="23">
        <f t="shared" si="15"/>
        <v>1105.5013976095711</v>
      </c>
      <c r="Y20" s="22">
        <f>(1/(2*LOG(3.7*$I20/'Calculation Constants'!$B$3*1000)))^2</f>
        <v>9.7303620360708887E-3</v>
      </c>
      <c r="Z20" s="19">
        <f t="shared" si="4"/>
        <v>1.0826630767363397</v>
      </c>
      <c r="AA20" s="19">
        <f>IF($H20&gt;0,'Calculation Constants'!$B$9*Hydraulics!$K20^2/2/9.81/MAX($F$4:$F$253)*$H20,"")</f>
        <v>6.3421890311175441E-2</v>
      </c>
      <c r="AB20" s="19">
        <f t="shared" si="27"/>
        <v>1.1460849670475151</v>
      </c>
      <c r="AC20" s="19">
        <f t="shared" si="5"/>
        <v>0</v>
      </c>
      <c r="AD20" s="19">
        <f t="shared" si="17"/>
        <v>29.903490197714973</v>
      </c>
      <c r="AE20" s="23">
        <f t="shared" si="18"/>
        <v>1104.7934901977151</v>
      </c>
      <c r="AF20" s="27">
        <f>(1/(2*LOG(3.7*$I20/'Calculation Constants'!$B$4*1000)))^2</f>
        <v>1.1458969193927592E-2</v>
      </c>
      <c r="AG20" s="19">
        <f t="shared" si="6"/>
        <v>1.274999100520025</v>
      </c>
      <c r="AH20" s="19">
        <f>IF($H20&gt;0,'Calculation Constants'!$B$9*Hydraulics!$K20^2/2/9.81/MAX($F$4:$F$253)*$H20,"")</f>
        <v>6.3421890311175441E-2</v>
      </c>
      <c r="AI20" s="19">
        <f t="shared" si="19"/>
        <v>1.3384209908312004</v>
      </c>
      <c r="AJ20" s="19">
        <f t="shared" si="7"/>
        <v>0</v>
      </c>
      <c r="AK20" s="19">
        <f t="shared" si="20"/>
        <v>28.749474055012115</v>
      </c>
      <c r="AL20" s="23">
        <f t="shared" si="21"/>
        <v>1103.6394740550122</v>
      </c>
      <c r="AM20" s="22">
        <f>(1/(2*LOG(3.7*($I20-0.008)/'Calculation Constants'!$B$5*1000)))^2</f>
        <v>1.4542845531075887E-2</v>
      </c>
      <c r="AN20" s="19">
        <f t="shared" si="22"/>
        <v>1.6249731396833385</v>
      </c>
      <c r="AO20" s="19">
        <f>IF($H20&gt;0,'Calculation Constants'!$B$9*Hydraulics!$K20^2/2/9.81/MAX($F$4:$F$253)*$H20,"")</f>
        <v>6.3421890311175441E-2</v>
      </c>
      <c r="AP20" s="19">
        <f t="shared" si="23"/>
        <v>1.6883950299945139</v>
      </c>
      <c r="AQ20" s="19">
        <f t="shared" si="8"/>
        <v>0</v>
      </c>
      <c r="AR20" s="19">
        <f t="shared" si="24"/>
        <v>26.649629820032487</v>
      </c>
      <c r="AS20" s="23">
        <f t="shared" si="25"/>
        <v>1101.5396298200326</v>
      </c>
    </row>
    <row r="21" spans="1:45" ht="15.75" thickBot="1">
      <c r="E21" s="35" t="str">
        <f t="shared" si="9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6"/>
        <v>2</v>
      </c>
      <c r="I21" s="19">
        <v>1.9</v>
      </c>
      <c r="J21" s="36">
        <f>'Flow Rate Calculations'!$B$7</f>
        <v>4.0831050228310497</v>
      </c>
      <c r="K21" s="36">
        <f t="shared" si="10"/>
        <v>1.440102709245225</v>
      </c>
      <c r="L21" s="37">
        <f>$I21*$K21/'Calculation Constants'!$B$7</f>
        <v>2421411.6350140949</v>
      </c>
      <c r="M21" s="37">
        <f t="shared" si="11"/>
        <v>40.55600000000004</v>
      </c>
      <c r="N21" s="23">
        <f t="shared" si="12"/>
        <v>33.359297211166222</v>
      </c>
      <c r="O21" s="57">
        <f t="shared" si="0"/>
        <v>40.55600000000004</v>
      </c>
      <c r="P21" s="66">
        <f>MAX(I21*1000/'Calculation Constants'!$B$14,O21*10*I21*1000/2/('Calculation Constants'!$B$12*1000*'Calculation Constants'!$B$13))</f>
        <v>11.875</v>
      </c>
      <c r="Q21" s="68">
        <f t="shared" si="1"/>
        <v>1105894.9783427313</v>
      </c>
      <c r="R21" s="27">
        <f>(1/(2*LOG(3.7*$I21/'Calculation Constants'!$B$2*1000)))^2</f>
        <v>8.6699836115820689E-3</v>
      </c>
      <c r="S21" s="19">
        <f t="shared" si="13"/>
        <v>0.96467850809376621</v>
      </c>
      <c r="T21" s="19">
        <f>IF($H21&gt;0,'Calculation Constants'!$B$9*Hydraulics!$K21^2/2/9.81/MAX($F$4:$F$253)*$H21,"")</f>
        <v>6.3421890311175441E-2</v>
      </c>
      <c r="U21" s="19">
        <f t="shared" si="14"/>
        <v>1.0281003984049417</v>
      </c>
      <c r="V21" s="19">
        <f t="shared" si="2"/>
        <v>0</v>
      </c>
      <c r="W21" s="19">
        <f t="shared" si="3"/>
        <v>33.359297211166222</v>
      </c>
      <c r="X21" s="23">
        <f t="shared" si="15"/>
        <v>1104.4732972111663</v>
      </c>
      <c r="Y21" s="22">
        <f>(1/(2*LOG(3.7*$I21/'Calculation Constants'!$B$3*1000)))^2</f>
        <v>9.7303620360708887E-3</v>
      </c>
      <c r="Z21" s="19">
        <f t="shared" si="4"/>
        <v>1.0826630767363397</v>
      </c>
      <c r="AA21" s="19">
        <f>IF($H21&gt;0,'Calculation Constants'!$B$9*Hydraulics!$K21^2/2/9.81/MAX($F$4:$F$253)*$H21,"")</f>
        <v>6.3421890311175441E-2</v>
      </c>
      <c r="AB21" s="19">
        <f t="shared" si="27"/>
        <v>1.1460849670475151</v>
      </c>
      <c r="AC21" s="19">
        <f t="shared" si="5"/>
        <v>0</v>
      </c>
      <c r="AD21" s="19">
        <f t="shared" si="17"/>
        <v>32.53340523066754</v>
      </c>
      <c r="AE21" s="23">
        <f t="shared" si="18"/>
        <v>1103.6474052306676</v>
      </c>
      <c r="AF21" s="27">
        <f>(1/(2*LOG(3.7*$I21/'Calculation Constants'!$B$4*1000)))^2</f>
        <v>1.1458969193927592E-2</v>
      </c>
      <c r="AG21" s="19">
        <f t="shared" si="6"/>
        <v>1.274999100520025</v>
      </c>
      <c r="AH21" s="19">
        <f>IF($H21&gt;0,'Calculation Constants'!$B$9*Hydraulics!$K21^2/2/9.81/MAX($F$4:$F$253)*$H21,"")</f>
        <v>6.3421890311175441E-2</v>
      </c>
      <c r="AI21" s="19">
        <f t="shared" si="19"/>
        <v>1.3384209908312004</v>
      </c>
      <c r="AJ21" s="19">
        <f t="shared" si="7"/>
        <v>0</v>
      </c>
      <c r="AK21" s="19">
        <f t="shared" si="20"/>
        <v>31.187053064180873</v>
      </c>
      <c r="AL21" s="23">
        <f t="shared" si="21"/>
        <v>1102.3010530641809</v>
      </c>
      <c r="AM21" s="22">
        <f>(1/(2*LOG(3.7*($I21-0.008)/'Calculation Constants'!$B$5*1000)))^2</f>
        <v>1.4542845531075887E-2</v>
      </c>
      <c r="AN21" s="19">
        <f t="shared" si="22"/>
        <v>1.6249731396833385</v>
      </c>
      <c r="AO21" s="19">
        <f>IF($H21&gt;0,'Calculation Constants'!$B$9*Hydraulics!$K21^2/2/9.81/MAX($F$4:$F$253)*$H21,"")</f>
        <v>6.3421890311175441E-2</v>
      </c>
      <c r="AP21" s="19">
        <f t="shared" si="23"/>
        <v>1.6883950299945139</v>
      </c>
      <c r="AQ21" s="19">
        <f t="shared" si="8"/>
        <v>0</v>
      </c>
      <c r="AR21" s="19">
        <f t="shared" si="24"/>
        <v>28.737234790037974</v>
      </c>
      <c r="AS21" s="23">
        <f t="shared" si="25"/>
        <v>1099.851234790038</v>
      </c>
    </row>
    <row r="22" spans="1:45">
      <c r="A22" s="48" t="s">
        <v>35</v>
      </c>
      <c r="B22" s="49" t="s">
        <v>37</v>
      </c>
      <c r="E22" s="35" t="str">
        <f t="shared" si="9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6"/>
        <v>2</v>
      </c>
      <c r="I22" s="19">
        <v>1.9</v>
      </c>
      <c r="J22" s="36">
        <f>'Flow Rate Calculations'!$B$7</f>
        <v>4.0831050228310497</v>
      </c>
      <c r="K22" s="36">
        <f t="shared" si="10"/>
        <v>1.440102709245225</v>
      </c>
      <c r="L22" s="37">
        <f>$I22*$K22/'Calculation Constants'!$B$7</f>
        <v>2421411.6350140949</v>
      </c>
      <c r="M22" s="37">
        <f t="shared" si="11"/>
        <v>46.359000000000151</v>
      </c>
      <c r="N22" s="23">
        <f t="shared" si="12"/>
        <v>38.134196812761502</v>
      </c>
      <c r="O22" s="57">
        <f t="shared" si="0"/>
        <v>46.359000000000151</v>
      </c>
      <c r="P22" s="66">
        <f>MAX(I22*1000/'Calculation Constants'!$B$14,O22*10*I22*1000/2/('Calculation Constants'!$B$12*1000*'Calculation Constants'!$B$13))</f>
        <v>11.875</v>
      </c>
      <c r="Q22" s="68">
        <f t="shared" si="1"/>
        <v>1105894.9783427313</v>
      </c>
      <c r="R22" s="27">
        <f>(1/(2*LOG(3.7*$I22/'Calculation Constants'!$B$2*1000)))^2</f>
        <v>8.6699836115820689E-3</v>
      </c>
      <c r="S22" s="19">
        <f t="shared" si="13"/>
        <v>0.96467850809376621</v>
      </c>
      <c r="T22" s="19">
        <f>IF($H22&gt;0,'Calculation Constants'!$B$9*Hydraulics!$K22^2/2/9.81/MAX($F$4:$F$253)*$H22,"")</f>
        <v>6.3421890311175441E-2</v>
      </c>
      <c r="U22" s="19">
        <f t="shared" si="14"/>
        <v>1.0281003984049417</v>
      </c>
      <c r="V22" s="19">
        <f t="shared" si="2"/>
        <v>0</v>
      </c>
      <c r="W22" s="19">
        <f t="shared" si="3"/>
        <v>38.134196812761502</v>
      </c>
      <c r="X22" s="23">
        <f t="shared" si="15"/>
        <v>1103.4451968127614</v>
      </c>
      <c r="Y22" s="22">
        <f>(1/(2*LOG(3.7*$I22/'Calculation Constants'!$B$3*1000)))^2</f>
        <v>9.7303620360708887E-3</v>
      </c>
      <c r="Z22" s="19">
        <f t="shared" si="4"/>
        <v>1.0826630767363397</v>
      </c>
      <c r="AA22" s="19">
        <f>IF($H22&gt;0,'Calculation Constants'!$B$9*Hydraulics!$K22^2/2/9.81/MAX($F$4:$F$253)*$H22,"")</f>
        <v>6.3421890311175441E-2</v>
      </c>
      <c r="AB22" s="19">
        <f t="shared" si="27"/>
        <v>1.1460849670475151</v>
      </c>
      <c r="AC22" s="19">
        <f t="shared" si="5"/>
        <v>0</v>
      </c>
      <c r="AD22" s="19">
        <f t="shared" si="17"/>
        <v>37.190320263620151</v>
      </c>
      <c r="AE22" s="23">
        <f t="shared" si="18"/>
        <v>1102.5013202636201</v>
      </c>
      <c r="AF22" s="27">
        <f>(1/(2*LOG(3.7*$I22/'Calculation Constants'!$B$4*1000)))^2</f>
        <v>1.1458969193927592E-2</v>
      </c>
      <c r="AG22" s="19">
        <f t="shared" si="6"/>
        <v>1.274999100520025</v>
      </c>
      <c r="AH22" s="19">
        <f>IF($H22&gt;0,'Calculation Constants'!$B$9*Hydraulics!$K22^2/2/9.81/MAX($F$4:$F$253)*$H22,"")</f>
        <v>6.3421890311175441E-2</v>
      </c>
      <c r="AI22" s="19">
        <f t="shared" si="19"/>
        <v>1.3384209908312004</v>
      </c>
      <c r="AJ22" s="19">
        <f t="shared" si="7"/>
        <v>0</v>
      </c>
      <c r="AK22" s="19">
        <f t="shared" si="20"/>
        <v>35.651632073349674</v>
      </c>
      <c r="AL22" s="23">
        <f t="shared" si="21"/>
        <v>1100.9626320733496</v>
      </c>
      <c r="AM22" s="22">
        <f>(1/(2*LOG(3.7*($I22-0.008)/'Calculation Constants'!$B$5*1000)))^2</f>
        <v>1.4542845531075887E-2</v>
      </c>
      <c r="AN22" s="19">
        <f t="shared" si="22"/>
        <v>1.6249731396833385</v>
      </c>
      <c r="AO22" s="19">
        <f>IF($H22&gt;0,'Calculation Constants'!$B$9*Hydraulics!$K22^2/2/9.81/MAX($F$4:$F$253)*$H22,"")</f>
        <v>6.3421890311175441E-2</v>
      </c>
      <c r="AP22" s="19">
        <f t="shared" si="23"/>
        <v>1.6883950299945139</v>
      </c>
      <c r="AQ22" s="19">
        <f t="shared" si="8"/>
        <v>0</v>
      </c>
      <c r="AR22" s="19">
        <f t="shared" si="24"/>
        <v>32.851839760043504</v>
      </c>
      <c r="AS22" s="23">
        <f t="shared" si="25"/>
        <v>1098.1628397600434</v>
      </c>
    </row>
    <row r="23" spans="1:45" ht="15.75" thickBot="1">
      <c r="A23" s="50" t="s">
        <v>38</v>
      </c>
      <c r="B23" s="51" t="s">
        <v>98</v>
      </c>
      <c r="E23" s="35" t="str">
        <f t="shared" si="9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6"/>
        <v>2</v>
      </c>
      <c r="I23" s="19">
        <v>1.9</v>
      </c>
      <c r="J23" s="36">
        <f>'Flow Rate Calculations'!$B$7</f>
        <v>4.0831050228310497</v>
      </c>
      <c r="K23" s="36">
        <f t="shared" si="10"/>
        <v>1.440102709245225</v>
      </c>
      <c r="L23" s="37">
        <f>$I23*$K23/'Calculation Constants'!$B$7</f>
        <v>2421411.6350140949</v>
      </c>
      <c r="M23" s="37">
        <f t="shared" si="11"/>
        <v>52.619000000000142</v>
      </c>
      <c r="N23" s="23">
        <f t="shared" si="12"/>
        <v>43.366096414356662</v>
      </c>
      <c r="O23" s="57">
        <f t="shared" si="0"/>
        <v>52.619000000000142</v>
      </c>
      <c r="P23" s="66">
        <f>MAX(I23*1000/'Calculation Constants'!$B$14,O23*10*I23*1000/2/('Calculation Constants'!$B$12*1000*'Calculation Constants'!$B$13))</f>
        <v>11.875</v>
      </c>
      <c r="Q23" s="68">
        <f t="shared" si="1"/>
        <v>1105894.9783427313</v>
      </c>
      <c r="R23" s="27">
        <f>(1/(2*LOG(3.7*$I23/'Calculation Constants'!$B$2*1000)))^2</f>
        <v>8.6699836115820689E-3</v>
      </c>
      <c r="S23" s="19">
        <f t="shared" si="13"/>
        <v>0.96467850809376621</v>
      </c>
      <c r="T23" s="19">
        <f>IF($H23&gt;0,'Calculation Constants'!$B$9*Hydraulics!$K23^2/2/9.81/MAX($F$4:$F$253)*$H23,"")</f>
        <v>6.3421890311175441E-2</v>
      </c>
      <c r="U23" s="19">
        <f t="shared" si="14"/>
        <v>1.0281003984049417</v>
      </c>
      <c r="V23" s="19">
        <f t="shared" si="2"/>
        <v>0</v>
      </c>
      <c r="W23" s="19">
        <f t="shared" si="3"/>
        <v>43.366096414356662</v>
      </c>
      <c r="X23" s="23">
        <f t="shared" si="15"/>
        <v>1102.4170964143566</v>
      </c>
      <c r="Y23" s="22">
        <f>(1/(2*LOG(3.7*$I23/'Calculation Constants'!$B$3*1000)))^2</f>
        <v>9.7303620360708887E-3</v>
      </c>
      <c r="Z23" s="19">
        <f t="shared" si="4"/>
        <v>1.0826630767363397</v>
      </c>
      <c r="AA23" s="19">
        <f>IF($H23&gt;0,'Calculation Constants'!$B$9*Hydraulics!$K23^2/2/9.81/MAX($F$4:$F$253)*$H23,"")</f>
        <v>6.3421890311175441E-2</v>
      </c>
      <c r="AB23" s="19">
        <f t="shared" si="27"/>
        <v>1.1460849670475151</v>
      </c>
      <c r="AC23" s="19">
        <f t="shared" si="5"/>
        <v>0</v>
      </c>
      <c r="AD23" s="19">
        <f t="shared" si="17"/>
        <v>42.304235296572642</v>
      </c>
      <c r="AE23" s="23">
        <f t="shared" si="18"/>
        <v>1101.3552352965726</v>
      </c>
      <c r="AF23" s="27">
        <f>(1/(2*LOG(3.7*$I23/'Calculation Constants'!$B$4*1000)))^2</f>
        <v>1.1458969193927592E-2</v>
      </c>
      <c r="AG23" s="19">
        <f t="shared" si="6"/>
        <v>1.274999100520025</v>
      </c>
      <c r="AH23" s="19">
        <f>IF($H23&gt;0,'Calculation Constants'!$B$9*Hydraulics!$K23^2/2/9.81/MAX($F$4:$F$253)*$H23,"")</f>
        <v>6.3421890311175441E-2</v>
      </c>
      <c r="AI23" s="19">
        <f t="shared" si="19"/>
        <v>1.3384209908312004</v>
      </c>
      <c r="AJ23" s="19">
        <f t="shared" si="7"/>
        <v>0</v>
      </c>
      <c r="AK23" s="19">
        <f t="shared" si="20"/>
        <v>40.573211082518355</v>
      </c>
      <c r="AL23" s="23">
        <f t="shared" si="21"/>
        <v>1099.6242110825183</v>
      </c>
      <c r="AM23" s="22">
        <f>(1/(2*LOG(3.7*($I23-0.008)/'Calculation Constants'!$B$5*1000)))^2</f>
        <v>1.4542845531075887E-2</v>
      </c>
      <c r="AN23" s="19">
        <f t="shared" si="22"/>
        <v>1.6249731396833385</v>
      </c>
      <c r="AO23" s="19">
        <f>IF($H23&gt;0,'Calculation Constants'!$B$9*Hydraulics!$K23^2/2/9.81/MAX($F$4:$F$253)*$H23,"")</f>
        <v>6.3421890311175441E-2</v>
      </c>
      <c r="AP23" s="19">
        <f t="shared" si="23"/>
        <v>1.6883950299945139</v>
      </c>
      <c r="AQ23" s="19">
        <f t="shared" si="8"/>
        <v>0</v>
      </c>
      <c r="AR23" s="19">
        <f t="shared" si="24"/>
        <v>37.423444730048914</v>
      </c>
      <c r="AS23" s="23">
        <f t="shared" si="25"/>
        <v>1096.4744447300488</v>
      </c>
    </row>
    <row r="24" spans="1:45">
      <c r="E24" s="35" t="str">
        <f t="shared" si="9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6"/>
        <v>2</v>
      </c>
      <c r="I24" s="19">
        <v>1.9</v>
      </c>
      <c r="J24" s="36">
        <f>'Flow Rate Calculations'!$B$7</f>
        <v>4.0831050228310497</v>
      </c>
      <c r="K24" s="36">
        <f t="shared" si="10"/>
        <v>1.440102709245225</v>
      </c>
      <c r="L24" s="37">
        <f>$I24*$K24/'Calculation Constants'!$B$7</f>
        <v>2421411.6350140949</v>
      </c>
      <c r="M24" s="37">
        <f t="shared" si="11"/>
        <v>57.3900000000001</v>
      </c>
      <c r="N24" s="23">
        <f t="shared" si="12"/>
        <v>47.108996015951789</v>
      </c>
      <c r="O24" s="57">
        <f t="shared" si="0"/>
        <v>57.3900000000001</v>
      </c>
      <c r="P24" s="66">
        <f>MAX(I24*1000/'Calculation Constants'!$B$14,O24*10*I24*1000/2/('Calculation Constants'!$B$12*1000*'Calculation Constants'!$B$13))</f>
        <v>11.875</v>
      </c>
      <c r="Q24" s="68">
        <f t="shared" si="1"/>
        <v>1105894.9783427313</v>
      </c>
      <c r="R24" s="27">
        <f>(1/(2*LOG(3.7*$I24/'Calculation Constants'!$B$2*1000)))^2</f>
        <v>8.6699836115820689E-3</v>
      </c>
      <c r="S24" s="19">
        <f t="shared" si="13"/>
        <v>0.96467850809376621</v>
      </c>
      <c r="T24" s="19">
        <f>IF($H24&gt;0,'Calculation Constants'!$B$9*Hydraulics!$K24^2/2/9.81/MAX($F$4:$F$253)*$H24,"")</f>
        <v>6.3421890311175441E-2</v>
      </c>
      <c r="U24" s="19">
        <f t="shared" si="14"/>
        <v>1.0281003984049417</v>
      </c>
      <c r="V24" s="19">
        <f t="shared" si="2"/>
        <v>0</v>
      </c>
      <c r="W24" s="19">
        <f t="shared" si="3"/>
        <v>47.108996015951789</v>
      </c>
      <c r="X24" s="23">
        <f t="shared" si="15"/>
        <v>1101.3889960159518</v>
      </c>
      <c r="Y24" s="22">
        <f>(1/(2*LOG(3.7*$I24/'Calculation Constants'!$B$3*1000)))^2</f>
        <v>9.7303620360708887E-3</v>
      </c>
      <c r="Z24" s="19">
        <f t="shared" si="4"/>
        <v>1.0826630767363397</v>
      </c>
      <c r="AA24" s="19">
        <f>IF($H24&gt;0,'Calculation Constants'!$B$9*Hydraulics!$K24^2/2/9.81/MAX($F$4:$F$253)*$H24,"")</f>
        <v>6.3421890311175441E-2</v>
      </c>
      <c r="AB24" s="19">
        <f t="shared" si="27"/>
        <v>1.1460849670475151</v>
      </c>
      <c r="AC24" s="19">
        <f t="shared" si="5"/>
        <v>0</v>
      </c>
      <c r="AD24" s="19">
        <f t="shared" si="17"/>
        <v>45.9291503295251</v>
      </c>
      <c r="AE24" s="23">
        <f t="shared" si="18"/>
        <v>1100.2091503295251</v>
      </c>
      <c r="AF24" s="27">
        <f>(1/(2*LOG(3.7*$I24/'Calculation Constants'!$B$4*1000)))^2</f>
        <v>1.1458969193927592E-2</v>
      </c>
      <c r="AG24" s="19">
        <f t="shared" si="6"/>
        <v>1.274999100520025</v>
      </c>
      <c r="AH24" s="19">
        <f>IF($H24&gt;0,'Calculation Constants'!$B$9*Hydraulics!$K24^2/2/9.81/MAX($F$4:$F$253)*$H24,"")</f>
        <v>6.3421890311175441E-2</v>
      </c>
      <c r="AI24" s="19">
        <f t="shared" si="19"/>
        <v>1.3384209908312004</v>
      </c>
      <c r="AJ24" s="19">
        <f t="shared" si="7"/>
        <v>0</v>
      </c>
      <c r="AK24" s="19">
        <f t="shared" si="20"/>
        <v>44.005790091687004</v>
      </c>
      <c r="AL24" s="23">
        <f t="shared" si="21"/>
        <v>1098.285790091687</v>
      </c>
      <c r="AM24" s="22">
        <f>(1/(2*LOG(3.7*($I24-0.008)/'Calculation Constants'!$B$5*1000)))^2</f>
        <v>1.4542845531075887E-2</v>
      </c>
      <c r="AN24" s="19">
        <f t="shared" si="22"/>
        <v>1.6249731396833385</v>
      </c>
      <c r="AO24" s="19">
        <f>IF($H24&gt;0,'Calculation Constants'!$B$9*Hydraulics!$K24^2/2/9.81/MAX($F$4:$F$253)*$H24,"")</f>
        <v>6.3421890311175441E-2</v>
      </c>
      <c r="AP24" s="19">
        <f t="shared" si="23"/>
        <v>1.6883950299945139</v>
      </c>
      <c r="AQ24" s="19">
        <f t="shared" si="8"/>
        <v>0</v>
      </c>
      <c r="AR24" s="19">
        <f t="shared" si="24"/>
        <v>40.506049700054291</v>
      </c>
      <c r="AS24" s="23">
        <f t="shared" si="25"/>
        <v>1094.7860497000543</v>
      </c>
    </row>
    <row r="25" spans="1:45">
      <c r="E25" s="35" t="str">
        <f t="shared" si="9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6"/>
        <v>2</v>
      </c>
      <c r="I25" s="19">
        <v>1.9</v>
      </c>
      <c r="J25" s="36">
        <f>'Flow Rate Calculations'!$B$7</f>
        <v>4.0831050228310497</v>
      </c>
      <c r="K25" s="36">
        <f t="shared" si="10"/>
        <v>1.440102709245225</v>
      </c>
      <c r="L25" s="37">
        <f>$I25*$K25/'Calculation Constants'!$B$7</f>
        <v>2421411.6350140949</v>
      </c>
      <c r="M25" s="37">
        <f t="shared" si="11"/>
        <v>57.798999999999978</v>
      </c>
      <c r="N25" s="23">
        <f t="shared" si="12"/>
        <v>46.489895617546836</v>
      </c>
      <c r="O25" s="57">
        <f t="shared" si="0"/>
        <v>57.798999999999978</v>
      </c>
      <c r="P25" s="66">
        <f>MAX(I25*1000/'Calculation Constants'!$B$14,O25*10*I25*1000/2/('Calculation Constants'!$B$12*1000*'Calculation Constants'!$B$13))</f>
        <v>11.875</v>
      </c>
      <c r="Q25" s="68">
        <f t="shared" si="1"/>
        <v>1105894.9783427313</v>
      </c>
      <c r="R25" s="27">
        <f>(1/(2*LOG(3.7*$I25/'Calculation Constants'!$B$2*1000)))^2</f>
        <v>8.6699836115820689E-3</v>
      </c>
      <c r="S25" s="19">
        <f t="shared" si="13"/>
        <v>0.96467850809376621</v>
      </c>
      <c r="T25" s="19">
        <f>IF($H25&gt;0,'Calculation Constants'!$B$9*Hydraulics!$K25^2/2/9.81/MAX($F$4:$F$253)*$H25,"")</f>
        <v>6.3421890311175441E-2</v>
      </c>
      <c r="U25" s="19">
        <f t="shared" si="14"/>
        <v>1.0281003984049417</v>
      </c>
      <c r="V25" s="19">
        <f t="shared" si="2"/>
        <v>0</v>
      </c>
      <c r="W25" s="19">
        <f t="shared" si="3"/>
        <v>46.489895617546836</v>
      </c>
      <c r="X25" s="23">
        <f t="shared" si="15"/>
        <v>1100.3608956175469</v>
      </c>
      <c r="Y25" s="22">
        <f>(1/(2*LOG(3.7*$I25/'Calculation Constants'!$B$3*1000)))^2</f>
        <v>9.7303620360708887E-3</v>
      </c>
      <c r="Z25" s="19">
        <f t="shared" si="4"/>
        <v>1.0826630767363397</v>
      </c>
      <c r="AA25" s="19">
        <f>IF($H25&gt;0,'Calculation Constants'!$B$9*Hydraulics!$K25^2/2/9.81/MAX($F$4:$F$253)*$H25,"")</f>
        <v>6.3421890311175441E-2</v>
      </c>
      <c r="AB25" s="19">
        <f t="shared" si="27"/>
        <v>1.1460849670475151</v>
      </c>
      <c r="AC25" s="19">
        <f t="shared" si="5"/>
        <v>0</v>
      </c>
      <c r="AD25" s="19">
        <f t="shared" si="17"/>
        <v>45.192065362477479</v>
      </c>
      <c r="AE25" s="23">
        <f t="shared" si="18"/>
        <v>1099.0630653624776</v>
      </c>
      <c r="AF25" s="27">
        <f>(1/(2*LOG(3.7*$I25/'Calculation Constants'!$B$4*1000)))^2</f>
        <v>1.1458969193927592E-2</v>
      </c>
      <c r="AG25" s="19">
        <f t="shared" si="6"/>
        <v>1.274999100520025</v>
      </c>
      <c r="AH25" s="19">
        <f>IF($H25&gt;0,'Calculation Constants'!$B$9*Hydraulics!$K25^2/2/9.81/MAX($F$4:$F$253)*$H25,"")</f>
        <v>6.3421890311175441E-2</v>
      </c>
      <c r="AI25" s="19">
        <f t="shared" si="19"/>
        <v>1.3384209908312004</v>
      </c>
      <c r="AJ25" s="19">
        <f t="shared" si="7"/>
        <v>0</v>
      </c>
      <c r="AK25" s="19">
        <f t="shared" si="20"/>
        <v>43.076369100855572</v>
      </c>
      <c r="AL25" s="23">
        <f t="shared" si="21"/>
        <v>1096.9473691008557</v>
      </c>
      <c r="AM25" s="22">
        <f>(1/(2*LOG(3.7*($I25-0.008)/'Calculation Constants'!$B$5*1000)))^2</f>
        <v>1.4542845531075887E-2</v>
      </c>
      <c r="AN25" s="19">
        <f t="shared" si="22"/>
        <v>1.6249731396833385</v>
      </c>
      <c r="AO25" s="19">
        <f>IF($H25&gt;0,'Calculation Constants'!$B$9*Hydraulics!$K25^2/2/9.81/MAX($F$4:$F$253)*$H25,"")</f>
        <v>6.3421890311175441E-2</v>
      </c>
      <c r="AP25" s="19">
        <f t="shared" si="23"/>
        <v>1.6883950299945139</v>
      </c>
      <c r="AQ25" s="19">
        <f t="shared" si="8"/>
        <v>0</v>
      </c>
      <c r="AR25" s="19">
        <f t="shared" si="24"/>
        <v>39.226654670059588</v>
      </c>
      <c r="AS25" s="23">
        <f t="shared" si="25"/>
        <v>1093.0976546700597</v>
      </c>
    </row>
    <row r="26" spans="1:45">
      <c r="E26" s="35" t="str">
        <f t="shared" si="9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6"/>
        <v>2</v>
      </c>
      <c r="I26" s="19">
        <v>1.9</v>
      </c>
      <c r="J26" s="36">
        <f>'Flow Rate Calculations'!$B$7</f>
        <v>4.0831050228310497</v>
      </c>
      <c r="K26" s="36">
        <f t="shared" si="10"/>
        <v>1.440102709245225</v>
      </c>
      <c r="L26" s="37">
        <f>$I26*$K26/'Calculation Constants'!$B$7</f>
        <v>2421411.6350140949</v>
      </c>
      <c r="M26" s="37">
        <f t="shared" si="11"/>
        <v>61.25</v>
      </c>
      <c r="N26" s="23">
        <f t="shared" si="12"/>
        <v>48.912795219142026</v>
      </c>
      <c r="O26" s="57">
        <f t="shared" si="0"/>
        <v>61.25</v>
      </c>
      <c r="P26" s="66">
        <f>MAX(I26*1000/'Calculation Constants'!$B$14,O26*10*I26*1000/2/('Calculation Constants'!$B$12*1000*'Calculation Constants'!$B$13))</f>
        <v>11.875</v>
      </c>
      <c r="Q26" s="68">
        <f t="shared" si="1"/>
        <v>1105894.9783427313</v>
      </c>
      <c r="R26" s="27">
        <f>(1/(2*LOG(3.7*$I26/'Calculation Constants'!$B$2*1000)))^2</f>
        <v>8.6699836115820689E-3</v>
      </c>
      <c r="S26" s="19">
        <f t="shared" si="13"/>
        <v>0.96467850809376621</v>
      </c>
      <c r="T26" s="19">
        <f>IF($H26&gt;0,'Calculation Constants'!$B$9*Hydraulics!$K26^2/2/9.81/MAX($F$4:$F$253)*$H26,"")</f>
        <v>6.3421890311175441E-2</v>
      </c>
      <c r="U26" s="19">
        <f t="shared" si="14"/>
        <v>1.0281003984049417</v>
      </c>
      <c r="V26" s="19">
        <f t="shared" si="2"/>
        <v>0</v>
      </c>
      <c r="W26" s="19">
        <f t="shared" si="3"/>
        <v>48.912795219142026</v>
      </c>
      <c r="X26" s="23">
        <f t="shared" si="15"/>
        <v>1099.3327952191421</v>
      </c>
      <c r="Y26" s="22">
        <f>(1/(2*LOG(3.7*$I26/'Calculation Constants'!$B$3*1000)))^2</f>
        <v>9.7303620360708887E-3</v>
      </c>
      <c r="Z26" s="19">
        <f t="shared" si="4"/>
        <v>1.0826630767363397</v>
      </c>
      <c r="AA26" s="19">
        <f>IF($H26&gt;0,'Calculation Constants'!$B$9*Hydraulics!$K26^2/2/9.81/MAX($F$4:$F$253)*$H26,"")</f>
        <v>6.3421890311175441E-2</v>
      </c>
      <c r="AB26" s="19">
        <f t="shared" si="27"/>
        <v>1.1460849670475151</v>
      </c>
      <c r="AC26" s="19">
        <f t="shared" si="5"/>
        <v>0</v>
      </c>
      <c r="AD26" s="19">
        <f t="shared" si="17"/>
        <v>47.49698039543</v>
      </c>
      <c r="AE26" s="23">
        <f t="shared" si="18"/>
        <v>1097.9169803954301</v>
      </c>
      <c r="AF26" s="27">
        <f>(1/(2*LOG(3.7*$I26/'Calculation Constants'!$B$4*1000)))^2</f>
        <v>1.1458969193927592E-2</v>
      </c>
      <c r="AG26" s="19">
        <f t="shared" si="6"/>
        <v>1.274999100520025</v>
      </c>
      <c r="AH26" s="19">
        <f>IF($H26&gt;0,'Calculation Constants'!$B$9*Hydraulics!$K26^2/2/9.81/MAX($F$4:$F$253)*$H26,"")</f>
        <v>6.3421890311175441E-2</v>
      </c>
      <c r="AI26" s="19">
        <f t="shared" si="19"/>
        <v>1.3384209908312004</v>
      </c>
      <c r="AJ26" s="19">
        <f t="shared" si="7"/>
        <v>0</v>
      </c>
      <c r="AK26" s="19">
        <f t="shared" si="20"/>
        <v>45.188948110024285</v>
      </c>
      <c r="AL26" s="23">
        <f t="shared" si="21"/>
        <v>1095.6089481100244</v>
      </c>
      <c r="AM26" s="22">
        <f>(1/(2*LOG(3.7*($I26-0.008)/'Calculation Constants'!$B$5*1000)))^2</f>
        <v>1.4542845531075887E-2</v>
      </c>
      <c r="AN26" s="19">
        <f t="shared" si="22"/>
        <v>1.6249731396833385</v>
      </c>
      <c r="AO26" s="19">
        <f>IF($H26&gt;0,'Calculation Constants'!$B$9*Hydraulics!$K26^2/2/9.81/MAX($F$4:$F$253)*$H26,"")</f>
        <v>6.3421890311175441E-2</v>
      </c>
      <c r="AP26" s="19">
        <f t="shared" si="23"/>
        <v>1.6883950299945139</v>
      </c>
      <c r="AQ26" s="19">
        <f t="shared" si="8"/>
        <v>0</v>
      </c>
      <c r="AR26" s="19">
        <f t="shared" si="24"/>
        <v>40.989259640065029</v>
      </c>
      <c r="AS26" s="23">
        <f t="shared" si="25"/>
        <v>1091.4092596400651</v>
      </c>
    </row>
    <row r="27" spans="1:45">
      <c r="E27" s="35" t="str">
        <f t="shared" si="9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6"/>
        <v>2</v>
      </c>
      <c r="I27" s="19">
        <v>1.9</v>
      </c>
      <c r="J27" s="36">
        <f>'Flow Rate Calculations'!$B$7</f>
        <v>4.0831050228310497</v>
      </c>
      <c r="K27" s="36">
        <f t="shared" si="10"/>
        <v>1.440102709245225</v>
      </c>
      <c r="L27" s="37">
        <f>$I27*$K27/'Calculation Constants'!$B$7</f>
        <v>2421411.6350140949</v>
      </c>
      <c r="M27" s="37">
        <f t="shared" si="11"/>
        <v>58.966000000000122</v>
      </c>
      <c r="N27" s="23">
        <f t="shared" si="12"/>
        <v>45.600694820737317</v>
      </c>
      <c r="O27" s="57">
        <f t="shared" si="0"/>
        <v>58.966000000000122</v>
      </c>
      <c r="P27" s="66">
        <f>MAX(I27*1000/'Calculation Constants'!$B$14,O27*10*I27*1000/2/('Calculation Constants'!$B$12*1000*'Calculation Constants'!$B$13))</f>
        <v>11.875</v>
      </c>
      <c r="Q27" s="68">
        <f t="shared" si="1"/>
        <v>1105894.9783427313</v>
      </c>
      <c r="R27" s="27">
        <f>(1/(2*LOG(3.7*$I27/'Calculation Constants'!$B$2*1000)))^2</f>
        <v>8.6699836115820689E-3</v>
      </c>
      <c r="S27" s="19">
        <f t="shared" si="13"/>
        <v>0.96467850809376621</v>
      </c>
      <c r="T27" s="19">
        <f>IF($H27&gt;0,'Calculation Constants'!$B$9*Hydraulics!$K27^2/2/9.81/MAX($F$4:$F$253)*$H27,"")</f>
        <v>6.3421890311175441E-2</v>
      </c>
      <c r="U27" s="19">
        <f t="shared" si="14"/>
        <v>1.0281003984049417</v>
      </c>
      <c r="V27" s="19">
        <f t="shared" si="2"/>
        <v>0</v>
      </c>
      <c r="W27" s="19">
        <f t="shared" si="3"/>
        <v>45.600694820737317</v>
      </c>
      <c r="X27" s="23">
        <f t="shared" si="15"/>
        <v>1098.3046948207373</v>
      </c>
      <c r="Y27" s="22">
        <f>(1/(2*LOG(3.7*$I27/'Calculation Constants'!$B$3*1000)))^2</f>
        <v>9.7303620360708887E-3</v>
      </c>
      <c r="Z27" s="19">
        <f t="shared" si="4"/>
        <v>1.0826630767363397</v>
      </c>
      <c r="AA27" s="19">
        <f>IF($H27&gt;0,'Calculation Constants'!$B$9*Hydraulics!$K27^2/2/9.81/MAX($F$4:$F$253)*$H27,"")</f>
        <v>6.3421890311175441E-2</v>
      </c>
      <c r="AB27" s="19">
        <f t="shared" si="27"/>
        <v>1.1460849670475151</v>
      </c>
      <c r="AC27" s="19">
        <f t="shared" si="5"/>
        <v>0</v>
      </c>
      <c r="AD27" s="19">
        <f t="shared" si="17"/>
        <v>44.066895428382622</v>
      </c>
      <c r="AE27" s="23">
        <f t="shared" si="18"/>
        <v>1096.7708954283826</v>
      </c>
      <c r="AF27" s="27">
        <f>(1/(2*LOG(3.7*$I27/'Calculation Constants'!$B$4*1000)))^2</f>
        <v>1.1458969193927592E-2</v>
      </c>
      <c r="AG27" s="19">
        <f t="shared" si="6"/>
        <v>1.274999100520025</v>
      </c>
      <c r="AH27" s="19">
        <f>IF($H27&gt;0,'Calculation Constants'!$B$9*Hydraulics!$K27^2/2/9.81/MAX($F$4:$F$253)*$H27,"")</f>
        <v>6.3421890311175441E-2</v>
      </c>
      <c r="AI27" s="19">
        <f t="shared" si="19"/>
        <v>1.3384209908312004</v>
      </c>
      <c r="AJ27" s="19">
        <f t="shared" si="7"/>
        <v>0</v>
      </c>
      <c r="AK27" s="19">
        <f t="shared" si="20"/>
        <v>41.566527119193097</v>
      </c>
      <c r="AL27" s="23">
        <f t="shared" si="21"/>
        <v>1094.270527119193</v>
      </c>
      <c r="AM27" s="22">
        <f>(1/(2*LOG(3.7*($I27-0.008)/'Calculation Constants'!$B$5*1000)))^2</f>
        <v>1.4542845531075887E-2</v>
      </c>
      <c r="AN27" s="19">
        <f t="shared" si="22"/>
        <v>1.6249731396833385</v>
      </c>
      <c r="AO27" s="19">
        <f>IF($H27&gt;0,'Calculation Constants'!$B$9*Hydraulics!$K27^2/2/9.81/MAX($F$4:$F$253)*$H27,"")</f>
        <v>6.3421890311175441E-2</v>
      </c>
      <c r="AP27" s="19">
        <f t="shared" si="23"/>
        <v>1.6883950299945139</v>
      </c>
      <c r="AQ27" s="19">
        <f t="shared" si="8"/>
        <v>0</v>
      </c>
      <c r="AR27" s="19">
        <f t="shared" si="24"/>
        <v>37.01686461007057</v>
      </c>
      <c r="AS27" s="23">
        <f t="shared" si="25"/>
        <v>1089.7208646100705</v>
      </c>
    </row>
    <row r="28" spans="1:45" ht="18.75">
      <c r="A28" s="55"/>
      <c r="E28" s="35" t="str">
        <f t="shared" si="9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6"/>
        <v>2</v>
      </c>
      <c r="I28" s="19">
        <v>1.9</v>
      </c>
      <c r="J28" s="36">
        <f>'Flow Rate Calculations'!$B$7</f>
        <v>4.0831050228310497</v>
      </c>
      <c r="K28" s="36">
        <f t="shared" si="10"/>
        <v>1.440102709245225</v>
      </c>
      <c r="L28" s="37">
        <f>$I28*$K28/'Calculation Constants'!$B$7</f>
        <v>2421411.6350140949</v>
      </c>
      <c r="M28" s="37">
        <f t="shared" si="11"/>
        <v>55.315000000000055</v>
      </c>
      <c r="N28" s="23">
        <f t="shared" si="12"/>
        <v>40.921594422332419</v>
      </c>
      <c r="O28" s="57">
        <f t="shared" si="0"/>
        <v>55.315000000000055</v>
      </c>
      <c r="P28" s="66">
        <f>MAX(I28*1000/'Calculation Constants'!$B$14,O28*10*I28*1000/2/('Calculation Constants'!$B$12*1000*'Calculation Constants'!$B$13))</f>
        <v>11.875</v>
      </c>
      <c r="Q28" s="68">
        <f t="shared" si="1"/>
        <v>1105894.9783427313</v>
      </c>
      <c r="R28" s="27">
        <f>(1/(2*LOG(3.7*$I28/'Calculation Constants'!$B$2*1000)))^2</f>
        <v>8.6699836115820689E-3</v>
      </c>
      <c r="S28" s="19">
        <f t="shared" si="13"/>
        <v>0.96467850809376621</v>
      </c>
      <c r="T28" s="19">
        <f>IF($H28&gt;0,'Calculation Constants'!$B$9*Hydraulics!$K28^2/2/9.81/MAX($F$4:$F$253)*$H28,"")</f>
        <v>6.3421890311175441E-2</v>
      </c>
      <c r="U28" s="19">
        <f t="shared" si="14"/>
        <v>1.0281003984049417</v>
      </c>
      <c r="V28" s="19">
        <f t="shared" si="2"/>
        <v>0</v>
      </c>
      <c r="W28" s="19">
        <f t="shared" si="3"/>
        <v>40.921594422332419</v>
      </c>
      <c r="X28" s="23">
        <f t="shared" si="15"/>
        <v>1097.2765944223324</v>
      </c>
      <c r="Y28" s="22">
        <f>(1/(2*LOG(3.7*$I28/'Calculation Constants'!$B$3*1000)))^2</f>
        <v>9.7303620360708887E-3</v>
      </c>
      <c r="Z28" s="19">
        <f t="shared" si="4"/>
        <v>1.0826630767363397</v>
      </c>
      <c r="AA28" s="19">
        <f>IF($H28&gt;0,'Calculation Constants'!$B$9*Hydraulics!$K28^2/2/9.81/MAX($F$4:$F$253)*$H28,"")</f>
        <v>6.3421890311175441E-2</v>
      </c>
      <c r="AB28" s="19">
        <f t="shared" si="27"/>
        <v>1.1460849670475151</v>
      </c>
      <c r="AC28" s="19">
        <f t="shared" si="5"/>
        <v>0</v>
      </c>
      <c r="AD28" s="19">
        <f t="shared" si="17"/>
        <v>39.269810461335055</v>
      </c>
      <c r="AE28" s="23">
        <f t="shared" si="18"/>
        <v>1095.6248104613351</v>
      </c>
      <c r="AF28" s="27">
        <f>(1/(2*LOG(3.7*$I28/'Calculation Constants'!$B$4*1000)))^2</f>
        <v>1.1458969193927592E-2</v>
      </c>
      <c r="AG28" s="19">
        <f t="shared" si="6"/>
        <v>1.274999100520025</v>
      </c>
      <c r="AH28" s="19">
        <f>IF($H28&gt;0,'Calculation Constants'!$B$9*Hydraulics!$K28^2/2/9.81/MAX($F$4:$F$253)*$H28,"")</f>
        <v>6.3421890311175441E-2</v>
      </c>
      <c r="AI28" s="19">
        <f t="shared" si="19"/>
        <v>1.3384209908312004</v>
      </c>
      <c r="AJ28" s="19">
        <f t="shared" si="7"/>
        <v>0</v>
      </c>
      <c r="AK28" s="19">
        <f t="shared" si="20"/>
        <v>36.57710612836172</v>
      </c>
      <c r="AL28" s="23">
        <f t="shared" si="21"/>
        <v>1092.9321061283617</v>
      </c>
      <c r="AM28" s="22">
        <f>(1/(2*LOG(3.7*($I28-0.008)/'Calculation Constants'!$B$5*1000)))^2</f>
        <v>1.4542845531075887E-2</v>
      </c>
      <c r="AN28" s="19">
        <f t="shared" si="22"/>
        <v>1.6249731396833385</v>
      </c>
      <c r="AO28" s="19">
        <f>IF($H28&gt;0,'Calculation Constants'!$B$9*Hydraulics!$K28^2/2/9.81/MAX($F$4:$F$253)*$H28,"")</f>
        <v>6.3421890311175441E-2</v>
      </c>
      <c r="AP28" s="19">
        <f t="shared" si="23"/>
        <v>1.6883950299945139</v>
      </c>
      <c r="AQ28" s="19">
        <f t="shared" si="8"/>
        <v>0</v>
      </c>
      <c r="AR28" s="19">
        <f t="shared" si="24"/>
        <v>31.677469580075922</v>
      </c>
      <c r="AS28" s="23">
        <f t="shared" si="25"/>
        <v>1088.0324695800759</v>
      </c>
    </row>
    <row r="29" spans="1:45" ht="18.75">
      <c r="A29" s="55"/>
      <c r="E29" s="35" t="str">
        <f t="shared" si="9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6"/>
        <v>2</v>
      </c>
      <c r="I29" s="19">
        <v>1.9</v>
      </c>
      <c r="J29" s="36">
        <f>'Flow Rate Calculations'!$B$7</f>
        <v>4.0831050228310497</v>
      </c>
      <c r="K29" s="36">
        <f t="shared" si="10"/>
        <v>1.440102709245225</v>
      </c>
      <c r="L29" s="37">
        <f>$I29*$K29/'Calculation Constants'!$B$7</f>
        <v>2421411.6350140949</v>
      </c>
      <c r="M29" s="37">
        <f t="shared" si="11"/>
        <v>53.204000000000178</v>
      </c>
      <c r="N29" s="23">
        <f t="shared" si="12"/>
        <v>37.782494023927711</v>
      </c>
      <c r="O29" s="57">
        <f t="shared" si="0"/>
        <v>53.204000000000178</v>
      </c>
      <c r="P29" s="66">
        <f>MAX(I29*1000/'Calculation Constants'!$B$14,O29*10*I29*1000/2/('Calculation Constants'!$B$12*1000*'Calculation Constants'!$B$13))</f>
        <v>11.875</v>
      </c>
      <c r="Q29" s="68">
        <f t="shared" si="1"/>
        <v>1105894.9783427313</v>
      </c>
      <c r="R29" s="27">
        <f>(1/(2*LOG(3.7*$I29/'Calculation Constants'!$B$2*1000)))^2</f>
        <v>8.6699836115820689E-3</v>
      </c>
      <c r="S29" s="19">
        <f t="shared" si="13"/>
        <v>0.96467850809376621</v>
      </c>
      <c r="T29" s="19">
        <f>IF($H29&gt;0,'Calculation Constants'!$B$9*Hydraulics!$K29^2/2/9.81/MAX($F$4:$F$253)*$H29,"")</f>
        <v>6.3421890311175441E-2</v>
      </c>
      <c r="U29" s="19">
        <f t="shared" si="14"/>
        <v>1.0281003984049417</v>
      </c>
      <c r="V29" s="19">
        <f t="shared" si="2"/>
        <v>0</v>
      </c>
      <c r="W29" s="19">
        <f t="shared" si="3"/>
        <v>37.782494023927711</v>
      </c>
      <c r="X29" s="23">
        <f t="shared" si="15"/>
        <v>1096.2484940239276</v>
      </c>
      <c r="Y29" s="22">
        <f>(1/(2*LOG(3.7*$I29/'Calculation Constants'!$B$3*1000)))^2</f>
        <v>9.7303620360708887E-3</v>
      </c>
      <c r="Z29" s="19">
        <f t="shared" si="4"/>
        <v>1.0826630767363397</v>
      </c>
      <c r="AA29" s="19">
        <f>IF($H29&gt;0,'Calculation Constants'!$B$9*Hydraulics!$K29^2/2/9.81/MAX($F$4:$F$253)*$H29,"")</f>
        <v>6.3421890311175441E-2</v>
      </c>
      <c r="AB29" s="19">
        <f t="shared" si="27"/>
        <v>1.1460849670475151</v>
      </c>
      <c r="AC29" s="19">
        <f t="shared" si="5"/>
        <v>0</v>
      </c>
      <c r="AD29" s="19">
        <f t="shared" si="17"/>
        <v>36.012725494287679</v>
      </c>
      <c r="AE29" s="23">
        <f t="shared" si="18"/>
        <v>1094.4787254942876</v>
      </c>
      <c r="AF29" s="27">
        <f>(1/(2*LOG(3.7*$I29/'Calculation Constants'!$B$4*1000)))^2</f>
        <v>1.1458969193927592E-2</v>
      </c>
      <c r="AG29" s="19">
        <f t="shared" si="6"/>
        <v>1.274999100520025</v>
      </c>
      <c r="AH29" s="19">
        <f>IF($H29&gt;0,'Calculation Constants'!$B$9*Hydraulics!$K29^2/2/9.81/MAX($F$4:$F$253)*$H29,"")</f>
        <v>6.3421890311175441E-2</v>
      </c>
      <c r="AI29" s="19">
        <f t="shared" si="19"/>
        <v>1.3384209908312004</v>
      </c>
      <c r="AJ29" s="19">
        <f t="shared" si="7"/>
        <v>0</v>
      </c>
      <c r="AK29" s="19">
        <f t="shared" si="20"/>
        <v>33.127685137530534</v>
      </c>
      <c r="AL29" s="23">
        <f t="shared" si="21"/>
        <v>1091.5936851375304</v>
      </c>
      <c r="AM29" s="22">
        <f>(1/(2*LOG(3.7*($I29-0.008)/'Calculation Constants'!$B$5*1000)))^2</f>
        <v>1.4542845531075887E-2</v>
      </c>
      <c r="AN29" s="19">
        <f t="shared" si="22"/>
        <v>1.6249731396833385</v>
      </c>
      <c r="AO29" s="19">
        <f>IF($H29&gt;0,'Calculation Constants'!$B$9*Hydraulics!$K29^2/2/9.81/MAX($F$4:$F$253)*$H29,"")</f>
        <v>6.3421890311175441E-2</v>
      </c>
      <c r="AP29" s="19">
        <f t="shared" si="23"/>
        <v>1.6883950299945139</v>
      </c>
      <c r="AQ29" s="19">
        <f t="shared" si="8"/>
        <v>0</v>
      </c>
      <c r="AR29" s="19">
        <f t="shared" si="24"/>
        <v>27.878074550081465</v>
      </c>
      <c r="AS29" s="23">
        <f t="shared" si="25"/>
        <v>1086.3440745500814</v>
      </c>
    </row>
    <row r="30" spans="1:45" ht="18.75">
      <c r="A30" s="55"/>
      <c r="E30" s="35" t="str">
        <f t="shared" si="9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6"/>
        <v>2</v>
      </c>
      <c r="I30" s="19">
        <v>1.9</v>
      </c>
      <c r="J30" s="36">
        <f>'Flow Rate Calculations'!$B$7</f>
        <v>4.0831050228310497</v>
      </c>
      <c r="K30" s="36">
        <f t="shared" si="10"/>
        <v>1.440102709245225</v>
      </c>
      <c r="L30" s="37">
        <f>$I30*$K30/'Calculation Constants'!$B$7</f>
        <v>2421411.6350140949</v>
      </c>
      <c r="M30" s="37">
        <f t="shared" si="11"/>
        <v>55.680000000000064</v>
      </c>
      <c r="N30" s="23">
        <f t="shared" si="12"/>
        <v>39.230393625522765</v>
      </c>
      <c r="O30" s="57">
        <f t="shared" si="0"/>
        <v>55.680000000000064</v>
      </c>
      <c r="P30" s="66">
        <f>MAX(I30*1000/'Calculation Constants'!$B$14,O30*10*I30*1000/2/('Calculation Constants'!$B$12*1000*'Calculation Constants'!$B$13))</f>
        <v>11.875</v>
      </c>
      <c r="Q30" s="68">
        <f t="shared" si="1"/>
        <v>1105894.9783427313</v>
      </c>
      <c r="R30" s="27">
        <f>(1/(2*LOG(3.7*$I30/'Calculation Constants'!$B$2*1000)))^2</f>
        <v>8.6699836115820689E-3</v>
      </c>
      <c r="S30" s="19">
        <f t="shared" si="13"/>
        <v>0.96467850809376621</v>
      </c>
      <c r="T30" s="19">
        <f>IF($H30&gt;0,'Calculation Constants'!$B$9*Hydraulics!$K30^2/2/9.81/MAX($F$4:$F$253)*$H30,"")</f>
        <v>6.3421890311175441E-2</v>
      </c>
      <c r="U30" s="19">
        <f t="shared" si="14"/>
        <v>1.0281003984049417</v>
      </c>
      <c r="V30" s="19">
        <f t="shared" si="2"/>
        <v>0</v>
      </c>
      <c r="W30" s="19">
        <f t="shared" si="3"/>
        <v>39.230393625522765</v>
      </c>
      <c r="X30" s="23">
        <f t="shared" si="15"/>
        <v>1095.2203936255228</v>
      </c>
      <c r="Y30" s="22">
        <f>(1/(2*LOG(3.7*$I30/'Calculation Constants'!$B$3*1000)))^2</f>
        <v>9.7303620360708887E-3</v>
      </c>
      <c r="Z30" s="19">
        <f t="shared" si="4"/>
        <v>1.0826630767363397</v>
      </c>
      <c r="AA30" s="19">
        <f>IF($H30&gt;0,'Calculation Constants'!$B$9*Hydraulics!$K30^2/2/9.81/MAX($F$4:$F$253)*$H30,"")</f>
        <v>6.3421890311175441E-2</v>
      </c>
      <c r="AB30" s="19">
        <f t="shared" si="27"/>
        <v>1.1460849670475151</v>
      </c>
      <c r="AC30" s="19">
        <f t="shared" si="5"/>
        <v>0</v>
      </c>
      <c r="AD30" s="19">
        <f t="shared" si="17"/>
        <v>37.342640527240064</v>
      </c>
      <c r="AE30" s="23">
        <f t="shared" si="18"/>
        <v>1093.3326405272401</v>
      </c>
      <c r="AF30" s="27">
        <f>(1/(2*LOG(3.7*$I30/'Calculation Constants'!$B$4*1000)))^2</f>
        <v>1.1458969193927592E-2</v>
      </c>
      <c r="AG30" s="19">
        <f t="shared" si="6"/>
        <v>1.274999100520025</v>
      </c>
      <c r="AH30" s="19">
        <f>IF($H30&gt;0,'Calculation Constants'!$B$9*Hydraulics!$K30^2/2/9.81/MAX($F$4:$F$253)*$H30,"")</f>
        <v>6.3421890311175441E-2</v>
      </c>
      <c r="AI30" s="19">
        <f t="shared" si="19"/>
        <v>1.3384209908312004</v>
      </c>
      <c r="AJ30" s="19">
        <f t="shared" si="7"/>
        <v>0</v>
      </c>
      <c r="AK30" s="19">
        <f t="shared" si="20"/>
        <v>34.26526414669911</v>
      </c>
      <c r="AL30" s="23">
        <f t="shared" si="21"/>
        <v>1090.2552641466991</v>
      </c>
      <c r="AM30" s="22">
        <f>(1/(2*LOG(3.7*($I30-0.008)/'Calculation Constants'!$B$5*1000)))^2</f>
        <v>1.4542845531075887E-2</v>
      </c>
      <c r="AN30" s="19">
        <f t="shared" si="22"/>
        <v>1.6249731396833385</v>
      </c>
      <c r="AO30" s="19">
        <f>IF($H30&gt;0,'Calculation Constants'!$B$9*Hydraulics!$K30^2/2/9.81/MAX($F$4:$F$253)*$H30,"")</f>
        <v>6.3421890311175441E-2</v>
      </c>
      <c r="AP30" s="19">
        <f t="shared" si="23"/>
        <v>1.6883950299945139</v>
      </c>
      <c r="AQ30" s="19">
        <f t="shared" si="8"/>
        <v>0</v>
      </c>
      <c r="AR30" s="19">
        <f t="shared" si="24"/>
        <v>28.665679520086769</v>
      </c>
      <c r="AS30" s="23">
        <f t="shared" si="25"/>
        <v>1084.6556795200868</v>
      </c>
    </row>
    <row r="31" spans="1:45">
      <c r="E31" s="35" t="str">
        <f t="shared" si="9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6"/>
        <v>2</v>
      </c>
      <c r="I31" s="19">
        <v>1.9</v>
      </c>
      <c r="J31" s="36">
        <f>'Flow Rate Calculations'!$B$7</f>
        <v>4.0831050228310497</v>
      </c>
      <c r="K31" s="36">
        <f t="shared" si="10"/>
        <v>1.440102709245225</v>
      </c>
      <c r="L31" s="37">
        <f>$I31*$K31/'Calculation Constants'!$B$7</f>
        <v>2421411.6350140949</v>
      </c>
      <c r="M31" s="37">
        <f t="shared" si="11"/>
        <v>56.009999999999991</v>
      </c>
      <c r="N31" s="23">
        <f t="shared" si="12"/>
        <v>38.532293227117862</v>
      </c>
      <c r="O31" s="57">
        <f t="shared" si="0"/>
        <v>56.009999999999991</v>
      </c>
      <c r="P31" s="66">
        <f>MAX(I31*1000/'Calculation Constants'!$B$14,O31*10*I31*1000/2/('Calculation Constants'!$B$12*1000*'Calculation Constants'!$B$13))</f>
        <v>11.875</v>
      </c>
      <c r="Q31" s="68">
        <f t="shared" si="1"/>
        <v>1105894.9783427313</v>
      </c>
      <c r="R31" s="27">
        <f>(1/(2*LOG(3.7*$I31/'Calculation Constants'!$B$2*1000)))^2</f>
        <v>8.6699836115820689E-3</v>
      </c>
      <c r="S31" s="19">
        <f t="shared" si="13"/>
        <v>0.96467850809376621</v>
      </c>
      <c r="T31" s="19">
        <f>IF($H31&gt;0,'Calculation Constants'!$B$9*Hydraulics!$K31^2/2/9.81/MAX($F$4:$F$253)*$H31,"")</f>
        <v>6.3421890311175441E-2</v>
      </c>
      <c r="U31" s="19">
        <f t="shared" si="14"/>
        <v>1.0281003984049417</v>
      </c>
      <c r="V31" s="19">
        <f t="shared" si="2"/>
        <v>0</v>
      </c>
      <c r="W31" s="19">
        <f t="shared" si="3"/>
        <v>38.532293227117862</v>
      </c>
      <c r="X31" s="23">
        <f t="shared" si="15"/>
        <v>1094.1922932271179</v>
      </c>
      <c r="Y31" s="22">
        <f>(1/(2*LOG(3.7*$I31/'Calculation Constants'!$B$3*1000)))^2</f>
        <v>9.7303620360708887E-3</v>
      </c>
      <c r="Z31" s="19">
        <f t="shared" si="4"/>
        <v>1.0826630767363397</v>
      </c>
      <c r="AA31" s="19">
        <f>IF($H31&gt;0,'Calculation Constants'!$B$9*Hydraulics!$K31^2/2/9.81/MAX($F$4:$F$253)*$H31,"")</f>
        <v>6.3421890311175441E-2</v>
      </c>
      <c r="AB31" s="19">
        <f t="shared" si="27"/>
        <v>1.1460849670475151</v>
      </c>
      <c r="AC31" s="19">
        <f t="shared" si="5"/>
        <v>0</v>
      </c>
      <c r="AD31" s="19">
        <f t="shared" si="17"/>
        <v>36.526555560192492</v>
      </c>
      <c r="AE31" s="23">
        <f t="shared" si="18"/>
        <v>1092.1865555601926</v>
      </c>
      <c r="AF31" s="27">
        <f>(1/(2*LOG(3.7*$I31/'Calculation Constants'!$B$4*1000)))^2</f>
        <v>1.1458969193927592E-2</v>
      </c>
      <c r="AG31" s="19">
        <f t="shared" si="6"/>
        <v>1.274999100520025</v>
      </c>
      <c r="AH31" s="19">
        <f>IF($H31&gt;0,'Calculation Constants'!$B$9*Hydraulics!$K31^2/2/9.81/MAX($F$4:$F$253)*$H31,"")</f>
        <v>6.3421890311175441E-2</v>
      </c>
      <c r="AI31" s="19">
        <f t="shared" si="19"/>
        <v>1.3384209908312004</v>
      </c>
      <c r="AJ31" s="19">
        <f t="shared" si="7"/>
        <v>0</v>
      </c>
      <c r="AK31" s="19">
        <f t="shared" si="20"/>
        <v>33.256843155867728</v>
      </c>
      <c r="AL31" s="23">
        <f t="shared" si="21"/>
        <v>1088.9168431558678</v>
      </c>
      <c r="AM31" s="22">
        <f>(1/(2*LOG(3.7*($I31-0.008)/'Calculation Constants'!$B$5*1000)))^2</f>
        <v>1.4542845531075887E-2</v>
      </c>
      <c r="AN31" s="19">
        <f t="shared" si="22"/>
        <v>1.6249731396833385</v>
      </c>
      <c r="AO31" s="19">
        <f>IF($H31&gt;0,'Calculation Constants'!$B$9*Hydraulics!$K31^2/2/9.81/MAX($F$4:$F$253)*$H31,"")</f>
        <v>6.3421890311175441E-2</v>
      </c>
      <c r="AP31" s="19">
        <f t="shared" si="23"/>
        <v>1.6883950299945139</v>
      </c>
      <c r="AQ31" s="19">
        <f t="shared" si="8"/>
        <v>0</v>
      </c>
      <c r="AR31" s="19">
        <f t="shared" si="24"/>
        <v>27.307284490092115</v>
      </c>
      <c r="AS31" s="23">
        <f t="shared" si="25"/>
        <v>1082.9672844900922</v>
      </c>
    </row>
    <row r="32" spans="1:45">
      <c r="E32" s="35" t="str">
        <f t="shared" si="9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6"/>
        <v>2</v>
      </c>
      <c r="I32" s="19">
        <v>1.9</v>
      </c>
      <c r="J32" s="36">
        <f>'Flow Rate Calculations'!$B$7</f>
        <v>4.0831050228310497</v>
      </c>
      <c r="K32" s="36">
        <f t="shared" si="10"/>
        <v>1.440102709245225</v>
      </c>
      <c r="L32" s="37">
        <f>$I32*$K32/'Calculation Constants'!$B$7</f>
        <v>2421411.6350140949</v>
      </c>
      <c r="M32" s="37">
        <f t="shared" si="11"/>
        <v>55.266000000000076</v>
      </c>
      <c r="N32" s="23">
        <f t="shared" si="12"/>
        <v>36.760192828713116</v>
      </c>
      <c r="O32" s="57">
        <f t="shared" si="0"/>
        <v>55.266000000000076</v>
      </c>
      <c r="P32" s="66">
        <f>MAX(I32*1000/'Calculation Constants'!$B$14,O32*10*I32*1000/2/('Calculation Constants'!$B$12*1000*'Calculation Constants'!$B$13))</f>
        <v>11.875</v>
      </c>
      <c r="Q32" s="68">
        <f t="shared" si="1"/>
        <v>1105894.9783427313</v>
      </c>
      <c r="R32" s="27">
        <f>(1/(2*LOG(3.7*$I32/'Calculation Constants'!$B$2*1000)))^2</f>
        <v>8.6699836115820689E-3</v>
      </c>
      <c r="S32" s="19">
        <f t="shared" si="13"/>
        <v>0.96467850809376621</v>
      </c>
      <c r="T32" s="19">
        <f>IF($H32&gt;0,'Calculation Constants'!$B$9*Hydraulics!$K32^2/2/9.81/MAX($F$4:$F$253)*$H32,"")</f>
        <v>6.3421890311175441E-2</v>
      </c>
      <c r="U32" s="19">
        <f t="shared" si="14"/>
        <v>1.0281003984049417</v>
      </c>
      <c r="V32" s="19">
        <f t="shared" si="2"/>
        <v>0</v>
      </c>
      <c r="W32" s="19">
        <f t="shared" si="3"/>
        <v>36.760192828713116</v>
      </c>
      <c r="X32" s="23">
        <f t="shared" si="15"/>
        <v>1093.1641928287131</v>
      </c>
      <c r="Y32" s="22">
        <f>(1/(2*LOG(3.7*$I32/'Calculation Constants'!$B$3*1000)))^2</f>
        <v>9.7303620360708887E-3</v>
      </c>
      <c r="Z32" s="19">
        <f t="shared" si="4"/>
        <v>1.0826630767363397</v>
      </c>
      <c r="AA32" s="19">
        <f>IF($H32&gt;0,'Calculation Constants'!$B$9*Hydraulics!$K32^2/2/9.81/MAX($F$4:$F$253)*$H32,"")</f>
        <v>6.3421890311175441E-2</v>
      </c>
      <c r="AB32" s="19">
        <f t="shared" si="27"/>
        <v>1.1460849670475151</v>
      </c>
      <c r="AC32" s="19">
        <f t="shared" si="5"/>
        <v>0</v>
      </c>
      <c r="AD32" s="19">
        <f t="shared" si="17"/>
        <v>34.636470593145077</v>
      </c>
      <c r="AE32" s="23">
        <f t="shared" si="18"/>
        <v>1091.0404705931451</v>
      </c>
      <c r="AF32" s="27">
        <f>(1/(2*LOG(3.7*$I32/'Calculation Constants'!$B$4*1000)))^2</f>
        <v>1.1458969193927592E-2</v>
      </c>
      <c r="AG32" s="19">
        <f t="shared" si="6"/>
        <v>1.274999100520025</v>
      </c>
      <c r="AH32" s="19">
        <f>IF($H32&gt;0,'Calculation Constants'!$B$9*Hydraulics!$K32^2/2/9.81/MAX($F$4:$F$253)*$H32,"")</f>
        <v>6.3421890311175441E-2</v>
      </c>
      <c r="AI32" s="19">
        <f t="shared" si="19"/>
        <v>1.3384209908312004</v>
      </c>
      <c r="AJ32" s="19">
        <f t="shared" si="7"/>
        <v>0</v>
      </c>
      <c r="AK32" s="19">
        <f t="shared" si="20"/>
        <v>31.174422165036503</v>
      </c>
      <c r="AL32" s="23">
        <f t="shared" si="21"/>
        <v>1087.5784221650365</v>
      </c>
      <c r="AM32" s="22">
        <f>(1/(2*LOG(3.7*($I32-0.008)/'Calculation Constants'!$B$5*1000)))^2</f>
        <v>1.4542845531075887E-2</v>
      </c>
      <c r="AN32" s="19">
        <f t="shared" si="22"/>
        <v>1.6249731396833385</v>
      </c>
      <c r="AO32" s="19">
        <f>IF($H32&gt;0,'Calculation Constants'!$B$9*Hydraulics!$K32^2/2/9.81/MAX($F$4:$F$253)*$H32,"")</f>
        <v>6.3421890311175441E-2</v>
      </c>
      <c r="AP32" s="19">
        <f t="shared" si="23"/>
        <v>1.6883950299945139</v>
      </c>
      <c r="AQ32" s="19">
        <f t="shared" si="8"/>
        <v>0</v>
      </c>
      <c r="AR32" s="19">
        <f t="shared" si="24"/>
        <v>24.87488946009762</v>
      </c>
      <c r="AS32" s="23">
        <f t="shared" si="25"/>
        <v>1081.2788894600976</v>
      </c>
    </row>
    <row r="33" spans="5:45">
      <c r="E33" s="35" t="str">
        <f t="shared" si="9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6"/>
        <v>2</v>
      </c>
      <c r="I33" s="19">
        <v>1.9</v>
      </c>
      <c r="J33" s="36">
        <f>'Flow Rate Calculations'!$B$7</f>
        <v>4.0831050228310497</v>
      </c>
      <c r="K33" s="36">
        <f t="shared" si="10"/>
        <v>1.440102709245225</v>
      </c>
      <c r="L33" s="37">
        <f>$I33*$K33/'Calculation Constants'!$B$7</f>
        <v>2421411.6350140949</v>
      </c>
      <c r="M33" s="37">
        <f t="shared" si="11"/>
        <v>54.829000000000178</v>
      </c>
      <c r="N33" s="23">
        <f t="shared" si="12"/>
        <v>35.295092430308387</v>
      </c>
      <c r="O33" s="57">
        <f t="shared" si="0"/>
        <v>54.829000000000178</v>
      </c>
      <c r="P33" s="66">
        <f>MAX(I33*1000/'Calculation Constants'!$B$14,O33*10*I33*1000/2/('Calculation Constants'!$B$12*1000*'Calculation Constants'!$B$13))</f>
        <v>11.875</v>
      </c>
      <c r="Q33" s="68">
        <f t="shared" si="1"/>
        <v>1105894.9783427313</v>
      </c>
      <c r="R33" s="27">
        <f>(1/(2*LOG(3.7*$I33/'Calculation Constants'!$B$2*1000)))^2</f>
        <v>8.6699836115820689E-3</v>
      </c>
      <c r="S33" s="19">
        <f t="shared" si="13"/>
        <v>0.96467850809376621</v>
      </c>
      <c r="T33" s="19">
        <f>IF($H33&gt;0,'Calculation Constants'!$B$9*Hydraulics!$K33^2/2/9.81/MAX($F$4:$F$253)*$H33,"")</f>
        <v>6.3421890311175441E-2</v>
      </c>
      <c r="U33" s="19">
        <f t="shared" si="14"/>
        <v>1.0281003984049417</v>
      </c>
      <c r="V33" s="19">
        <f t="shared" si="2"/>
        <v>0</v>
      </c>
      <c r="W33" s="19">
        <f t="shared" si="3"/>
        <v>35.295092430308387</v>
      </c>
      <c r="X33" s="23">
        <f t="shared" si="15"/>
        <v>1092.1360924303083</v>
      </c>
      <c r="Y33" s="22">
        <f>(1/(2*LOG(3.7*$I33/'Calculation Constants'!$B$3*1000)))^2</f>
        <v>9.7303620360708887E-3</v>
      </c>
      <c r="Z33" s="19">
        <f t="shared" si="4"/>
        <v>1.0826630767363397</v>
      </c>
      <c r="AA33" s="19">
        <f>IF($H33&gt;0,'Calculation Constants'!$B$9*Hydraulics!$K33^2/2/9.81/MAX($F$4:$F$253)*$H33,"")</f>
        <v>6.3421890311175441E-2</v>
      </c>
      <c r="AB33" s="19">
        <f t="shared" si="27"/>
        <v>1.1460849670475151</v>
      </c>
      <c r="AC33" s="19">
        <f t="shared" si="5"/>
        <v>0</v>
      </c>
      <c r="AD33" s="19">
        <f t="shared" si="17"/>
        <v>33.053385626097679</v>
      </c>
      <c r="AE33" s="23">
        <f t="shared" si="18"/>
        <v>1089.8943856260976</v>
      </c>
      <c r="AF33" s="27">
        <f>(1/(2*LOG(3.7*$I33/'Calculation Constants'!$B$4*1000)))^2</f>
        <v>1.1458969193927592E-2</v>
      </c>
      <c r="AG33" s="19">
        <f t="shared" si="6"/>
        <v>1.274999100520025</v>
      </c>
      <c r="AH33" s="19">
        <f>IF($H33&gt;0,'Calculation Constants'!$B$9*Hydraulics!$K33^2/2/9.81/MAX($F$4:$F$253)*$H33,"")</f>
        <v>6.3421890311175441E-2</v>
      </c>
      <c r="AI33" s="19">
        <f t="shared" si="19"/>
        <v>1.3384209908312004</v>
      </c>
      <c r="AJ33" s="19">
        <f t="shared" si="7"/>
        <v>0</v>
      </c>
      <c r="AK33" s="19">
        <f t="shared" si="20"/>
        <v>29.399001174205296</v>
      </c>
      <c r="AL33" s="23">
        <f t="shared" si="21"/>
        <v>1086.2400011742052</v>
      </c>
      <c r="AM33" s="22">
        <f>(1/(2*LOG(3.7*($I33-0.008)/'Calculation Constants'!$B$5*1000)))^2</f>
        <v>1.4542845531075887E-2</v>
      </c>
      <c r="AN33" s="19">
        <f t="shared" si="22"/>
        <v>1.6249731396833385</v>
      </c>
      <c r="AO33" s="19">
        <f>IF($H33&gt;0,'Calculation Constants'!$B$9*Hydraulics!$K33^2/2/9.81/MAX($F$4:$F$253)*$H33,"")</f>
        <v>6.3421890311175441E-2</v>
      </c>
      <c r="AP33" s="19">
        <f t="shared" si="23"/>
        <v>1.6883950299945139</v>
      </c>
      <c r="AQ33" s="19">
        <f t="shared" si="8"/>
        <v>0</v>
      </c>
      <c r="AR33" s="19">
        <f t="shared" si="24"/>
        <v>22.749494430103141</v>
      </c>
      <c r="AS33" s="23">
        <f t="shared" si="25"/>
        <v>1079.590494430103</v>
      </c>
    </row>
    <row r="34" spans="5:45">
      <c r="E34" s="35" t="str">
        <f t="shared" si="9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6"/>
        <v>2</v>
      </c>
      <c r="I34" s="19">
        <v>1.9</v>
      </c>
      <c r="J34" s="36">
        <f>'Flow Rate Calculations'!$B$7</f>
        <v>4.0831050228310497</v>
      </c>
      <c r="K34" s="36">
        <f t="shared" si="10"/>
        <v>1.440102709245225</v>
      </c>
      <c r="L34" s="37">
        <f>$I34*$K34/'Calculation Constants'!$B$7</f>
        <v>2421411.6350140949</v>
      </c>
      <c r="M34" s="37">
        <f t="shared" si="11"/>
        <v>55.29300000000012</v>
      </c>
      <c r="N34" s="23">
        <f t="shared" si="12"/>
        <v>34.730992031903497</v>
      </c>
      <c r="O34" s="57">
        <f t="shared" si="0"/>
        <v>55.29300000000012</v>
      </c>
      <c r="P34" s="66">
        <f>MAX(I34*1000/'Calculation Constants'!$B$14,O34*10*I34*1000/2/('Calculation Constants'!$B$12*1000*'Calculation Constants'!$B$13))</f>
        <v>11.875</v>
      </c>
      <c r="Q34" s="68">
        <f t="shared" si="1"/>
        <v>1105894.9783427313</v>
      </c>
      <c r="R34" s="27">
        <f>(1/(2*LOG(3.7*$I34/'Calculation Constants'!$B$2*1000)))^2</f>
        <v>8.6699836115820689E-3</v>
      </c>
      <c r="S34" s="19">
        <f t="shared" si="13"/>
        <v>0.96467850809376621</v>
      </c>
      <c r="T34" s="19">
        <f>IF($H34&gt;0,'Calculation Constants'!$B$9*Hydraulics!$K34^2/2/9.81/MAX($F$4:$F$253)*$H34,"")</f>
        <v>6.3421890311175441E-2</v>
      </c>
      <c r="U34" s="19">
        <f t="shared" si="14"/>
        <v>1.0281003984049417</v>
      </c>
      <c r="V34" s="19">
        <f t="shared" si="2"/>
        <v>0</v>
      </c>
      <c r="W34" s="19">
        <f t="shared" si="3"/>
        <v>34.730992031903497</v>
      </c>
      <c r="X34" s="23">
        <f t="shared" si="15"/>
        <v>1091.1079920319034</v>
      </c>
      <c r="Y34" s="22">
        <f>(1/(2*LOG(3.7*$I34/'Calculation Constants'!$B$3*1000)))^2</f>
        <v>9.7303620360708887E-3</v>
      </c>
      <c r="Z34" s="19">
        <f t="shared" si="4"/>
        <v>1.0826630767363397</v>
      </c>
      <c r="AA34" s="19">
        <f>IF($H34&gt;0,'Calculation Constants'!$B$9*Hydraulics!$K34^2/2/9.81/MAX($F$4:$F$253)*$H34,"")</f>
        <v>6.3421890311175441E-2</v>
      </c>
      <c r="AB34" s="19">
        <f t="shared" si="27"/>
        <v>1.1460849670475151</v>
      </c>
      <c r="AC34" s="19">
        <f t="shared" si="5"/>
        <v>0</v>
      </c>
      <c r="AD34" s="19">
        <f t="shared" si="17"/>
        <v>32.371300659050121</v>
      </c>
      <c r="AE34" s="23">
        <f t="shared" si="18"/>
        <v>1088.7483006590501</v>
      </c>
      <c r="AF34" s="27">
        <f>(1/(2*LOG(3.7*$I34/'Calculation Constants'!$B$4*1000)))^2</f>
        <v>1.1458969193927592E-2</v>
      </c>
      <c r="AG34" s="19">
        <f t="shared" si="6"/>
        <v>1.274999100520025</v>
      </c>
      <c r="AH34" s="19">
        <f>IF($H34&gt;0,'Calculation Constants'!$B$9*Hydraulics!$K34^2/2/9.81/MAX($F$4:$F$253)*$H34,"")</f>
        <v>6.3421890311175441E-2</v>
      </c>
      <c r="AI34" s="19">
        <f t="shared" si="19"/>
        <v>1.3384209908312004</v>
      </c>
      <c r="AJ34" s="19">
        <f t="shared" si="7"/>
        <v>0</v>
      </c>
      <c r="AK34" s="19">
        <f t="shared" si="20"/>
        <v>28.524580183373928</v>
      </c>
      <c r="AL34" s="23">
        <f t="shared" si="21"/>
        <v>1084.9015801833739</v>
      </c>
      <c r="AM34" s="22">
        <f>(1/(2*LOG(3.7*($I34-0.008)/'Calculation Constants'!$B$5*1000)))^2</f>
        <v>1.4542845531075887E-2</v>
      </c>
      <c r="AN34" s="19">
        <f t="shared" si="22"/>
        <v>1.6249731396833385</v>
      </c>
      <c r="AO34" s="19">
        <f>IF($H34&gt;0,'Calculation Constants'!$B$9*Hydraulics!$K34^2/2/9.81/MAX($F$4:$F$253)*$H34,"")</f>
        <v>6.3421890311175441E-2</v>
      </c>
      <c r="AP34" s="19">
        <f t="shared" si="23"/>
        <v>1.6883950299945139</v>
      </c>
      <c r="AQ34" s="19">
        <f t="shared" si="8"/>
        <v>0</v>
      </c>
      <c r="AR34" s="19">
        <f t="shared" si="24"/>
        <v>21.525099400108502</v>
      </c>
      <c r="AS34" s="23">
        <f t="shared" si="25"/>
        <v>1077.9020994001085</v>
      </c>
    </row>
    <row r="35" spans="5:45">
      <c r="E35" s="35" t="str">
        <f t="shared" si="9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6"/>
        <v>2</v>
      </c>
      <c r="I35" s="19">
        <v>1.9</v>
      </c>
      <c r="J35" s="36">
        <f>'Flow Rate Calculations'!$B$7</f>
        <v>4.0831050228310497</v>
      </c>
      <c r="K35" s="36">
        <f t="shared" si="10"/>
        <v>1.440102709245225</v>
      </c>
      <c r="L35" s="37">
        <f>$I35*$K35/'Calculation Constants'!$B$7</f>
        <v>2421411.6350140949</v>
      </c>
      <c r="M35" s="37">
        <f t="shared" si="11"/>
        <v>59.167000000000144</v>
      </c>
      <c r="N35" s="23">
        <f t="shared" si="12"/>
        <v>37.57689163349869</v>
      </c>
      <c r="O35" s="57">
        <f t="shared" si="0"/>
        <v>59.167000000000144</v>
      </c>
      <c r="P35" s="66">
        <f>MAX(I35*1000/'Calculation Constants'!$B$14,O35*10*I35*1000/2/('Calculation Constants'!$B$12*1000*'Calculation Constants'!$B$13))</f>
        <v>11.875</v>
      </c>
      <c r="Q35" s="68">
        <f t="shared" si="1"/>
        <v>1105894.9783427313</v>
      </c>
      <c r="R35" s="27">
        <f>(1/(2*LOG(3.7*$I35/'Calculation Constants'!$B$2*1000)))^2</f>
        <v>8.6699836115820689E-3</v>
      </c>
      <c r="S35" s="19">
        <f t="shared" si="13"/>
        <v>0.96467850809376621</v>
      </c>
      <c r="T35" s="19">
        <f>IF($H35&gt;0,'Calculation Constants'!$B$9*Hydraulics!$K35^2/2/9.81/MAX($F$4:$F$253)*$H35,"")</f>
        <v>6.3421890311175441E-2</v>
      </c>
      <c r="U35" s="19">
        <f t="shared" si="14"/>
        <v>1.0281003984049417</v>
      </c>
      <c r="V35" s="19">
        <f t="shared" si="2"/>
        <v>0</v>
      </c>
      <c r="W35" s="19">
        <f t="shared" si="3"/>
        <v>37.57689163349869</v>
      </c>
      <c r="X35" s="23">
        <f t="shared" si="15"/>
        <v>1090.0798916334986</v>
      </c>
      <c r="Y35" s="22">
        <f>(1/(2*LOG(3.7*$I35/'Calculation Constants'!$B$3*1000)))^2</f>
        <v>9.7303620360708887E-3</v>
      </c>
      <c r="Z35" s="19">
        <f t="shared" si="4"/>
        <v>1.0826630767363397</v>
      </c>
      <c r="AA35" s="19">
        <f>IF($H35&gt;0,'Calculation Constants'!$B$9*Hydraulics!$K35^2/2/9.81/MAX($F$4:$F$253)*$H35,"")</f>
        <v>6.3421890311175441E-2</v>
      </c>
      <c r="AB35" s="19">
        <f t="shared" si="27"/>
        <v>1.1460849670475151</v>
      </c>
      <c r="AC35" s="19">
        <f t="shared" si="5"/>
        <v>0</v>
      </c>
      <c r="AD35" s="19">
        <f t="shared" si="17"/>
        <v>35.099215692002645</v>
      </c>
      <c r="AE35" s="23">
        <f t="shared" si="18"/>
        <v>1087.6022156920026</v>
      </c>
      <c r="AF35" s="27">
        <f>(1/(2*LOG(3.7*$I35/'Calculation Constants'!$B$4*1000)))^2</f>
        <v>1.1458969193927592E-2</v>
      </c>
      <c r="AG35" s="19">
        <f t="shared" si="6"/>
        <v>1.274999100520025</v>
      </c>
      <c r="AH35" s="19">
        <f>IF($H35&gt;0,'Calculation Constants'!$B$9*Hydraulics!$K35^2/2/9.81/MAX($F$4:$F$253)*$H35,"")</f>
        <v>6.3421890311175441E-2</v>
      </c>
      <c r="AI35" s="19">
        <f t="shared" si="19"/>
        <v>1.3384209908312004</v>
      </c>
      <c r="AJ35" s="19">
        <f t="shared" si="7"/>
        <v>0</v>
      </c>
      <c r="AK35" s="19">
        <f t="shared" si="20"/>
        <v>31.060159192542642</v>
      </c>
      <c r="AL35" s="23">
        <f t="shared" si="21"/>
        <v>1083.5631591925426</v>
      </c>
      <c r="AM35" s="22">
        <f>(1/(2*LOG(3.7*($I35-0.008)/'Calculation Constants'!$B$5*1000)))^2</f>
        <v>1.4542845531075887E-2</v>
      </c>
      <c r="AN35" s="19">
        <f t="shared" si="22"/>
        <v>1.6249731396833385</v>
      </c>
      <c r="AO35" s="19">
        <f>IF($H35&gt;0,'Calculation Constants'!$B$9*Hydraulics!$K35^2/2/9.81/MAX($F$4:$F$253)*$H35,"")</f>
        <v>6.3421890311175441E-2</v>
      </c>
      <c r="AP35" s="19">
        <f t="shared" si="23"/>
        <v>1.6883950299945139</v>
      </c>
      <c r="AQ35" s="19">
        <f t="shared" si="8"/>
        <v>0</v>
      </c>
      <c r="AR35" s="19">
        <f t="shared" si="24"/>
        <v>23.710704370113945</v>
      </c>
      <c r="AS35" s="23">
        <f t="shared" si="25"/>
        <v>1076.2137043701139</v>
      </c>
    </row>
    <row r="36" spans="5:45">
      <c r="E36" s="35" t="str">
        <f t="shared" si="9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6"/>
        <v>2</v>
      </c>
      <c r="I36" s="19">
        <v>1.9</v>
      </c>
      <c r="J36" s="36">
        <f>'Flow Rate Calculations'!$B$7</f>
        <v>4.0831050228310497</v>
      </c>
      <c r="K36" s="36">
        <f t="shared" si="10"/>
        <v>1.440102709245225</v>
      </c>
      <c r="L36" s="37">
        <f>$I36*$K36/'Calculation Constants'!$B$7</f>
        <v>2421411.6350140949</v>
      </c>
      <c r="M36" s="37">
        <f t="shared" si="11"/>
        <v>65.648000000000138</v>
      </c>
      <c r="N36" s="23">
        <f t="shared" si="12"/>
        <v>43.029791235093853</v>
      </c>
      <c r="O36" s="57">
        <f t="shared" si="0"/>
        <v>65.648000000000138</v>
      </c>
      <c r="P36" s="66">
        <f>MAX(I36*1000/'Calculation Constants'!$B$14,O36*10*I36*1000/2/('Calculation Constants'!$B$12*1000*'Calculation Constants'!$B$13))</f>
        <v>11.875</v>
      </c>
      <c r="Q36" s="68">
        <f t="shared" si="1"/>
        <v>1105894.9783427313</v>
      </c>
      <c r="R36" s="27">
        <f>(1/(2*LOG(3.7*$I36/'Calculation Constants'!$B$2*1000)))^2</f>
        <v>8.6699836115820689E-3</v>
      </c>
      <c r="S36" s="19">
        <f t="shared" si="13"/>
        <v>0.96467850809376621</v>
      </c>
      <c r="T36" s="19">
        <f>IF($H36&gt;0,'Calculation Constants'!$B$9*Hydraulics!$K36^2/2/9.81/MAX($F$4:$F$253)*$H36,"")</f>
        <v>6.3421890311175441E-2</v>
      </c>
      <c r="U36" s="19">
        <f t="shared" si="14"/>
        <v>1.0281003984049417</v>
      </c>
      <c r="V36" s="19">
        <f t="shared" si="2"/>
        <v>0</v>
      </c>
      <c r="W36" s="19">
        <f t="shared" si="3"/>
        <v>43.029791235093853</v>
      </c>
      <c r="X36" s="23">
        <f t="shared" si="15"/>
        <v>1089.0517912350938</v>
      </c>
      <c r="Y36" s="22">
        <f>(1/(2*LOG(3.7*$I36/'Calculation Constants'!$B$3*1000)))^2</f>
        <v>9.7303620360708887E-3</v>
      </c>
      <c r="Z36" s="19">
        <f t="shared" si="4"/>
        <v>1.0826630767363397</v>
      </c>
      <c r="AA36" s="19">
        <f>IF($H36&gt;0,'Calculation Constants'!$B$9*Hydraulics!$K36^2/2/9.81/MAX($F$4:$F$253)*$H36,"")</f>
        <v>6.3421890311175441E-2</v>
      </c>
      <c r="AB36" s="19">
        <f t="shared" si="27"/>
        <v>1.1460849670475151</v>
      </c>
      <c r="AC36" s="19">
        <f t="shared" si="5"/>
        <v>0</v>
      </c>
      <c r="AD36" s="19">
        <f t="shared" si="17"/>
        <v>40.434130724955139</v>
      </c>
      <c r="AE36" s="23">
        <f t="shared" si="18"/>
        <v>1086.4561307249551</v>
      </c>
      <c r="AF36" s="27">
        <f>(1/(2*LOG(3.7*$I36/'Calculation Constants'!$B$4*1000)))^2</f>
        <v>1.1458969193927592E-2</v>
      </c>
      <c r="AG36" s="19">
        <f t="shared" si="6"/>
        <v>1.274999100520025</v>
      </c>
      <c r="AH36" s="19">
        <f>IF($H36&gt;0,'Calculation Constants'!$B$9*Hydraulics!$K36^2/2/9.81/MAX($F$4:$F$253)*$H36,"")</f>
        <v>6.3421890311175441E-2</v>
      </c>
      <c r="AI36" s="19">
        <f t="shared" si="19"/>
        <v>1.3384209908312004</v>
      </c>
      <c r="AJ36" s="19">
        <f t="shared" si="7"/>
        <v>0</v>
      </c>
      <c r="AK36" s="19">
        <f t="shared" si="20"/>
        <v>36.202738201711327</v>
      </c>
      <c r="AL36" s="23">
        <f t="shared" si="21"/>
        <v>1082.2247382017113</v>
      </c>
      <c r="AM36" s="22">
        <f>(1/(2*LOG(3.7*($I36-0.008)/'Calculation Constants'!$B$5*1000)))^2</f>
        <v>1.4542845531075887E-2</v>
      </c>
      <c r="AN36" s="19">
        <f t="shared" si="22"/>
        <v>1.6249731396833385</v>
      </c>
      <c r="AO36" s="19">
        <f>IF($H36&gt;0,'Calculation Constants'!$B$9*Hydraulics!$K36^2/2/9.81/MAX($F$4:$F$253)*$H36,"")</f>
        <v>6.3421890311175441E-2</v>
      </c>
      <c r="AP36" s="19">
        <f t="shared" si="23"/>
        <v>1.6883950299945139</v>
      </c>
      <c r="AQ36" s="19">
        <f t="shared" si="8"/>
        <v>0</v>
      </c>
      <c r="AR36" s="19">
        <f t="shared" si="24"/>
        <v>28.503309340119358</v>
      </c>
      <c r="AS36" s="23">
        <f t="shared" si="25"/>
        <v>1074.5253093401193</v>
      </c>
    </row>
    <row r="37" spans="5:45">
      <c r="E37" s="35" t="str">
        <f t="shared" si="9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6"/>
        <v>2</v>
      </c>
      <c r="I37" s="19">
        <v>1.9</v>
      </c>
      <c r="J37" s="36">
        <f>'Flow Rate Calculations'!$B$7</f>
        <v>4.0831050228310497</v>
      </c>
      <c r="K37" s="36">
        <f t="shared" si="10"/>
        <v>1.440102709245225</v>
      </c>
      <c r="L37" s="37">
        <f>$I37*$K37/'Calculation Constants'!$B$7</f>
        <v>2421411.6350140949</v>
      </c>
      <c r="M37" s="37">
        <f t="shared" si="11"/>
        <v>75.095000000000027</v>
      </c>
      <c r="N37" s="23">
        <f t="shared" si="12"/>
        <v>51.448690836688911</v>
      </c>
      <c r="O37" s="57">
        <f t="shared" si="0"/>
        <v>75.095000000000027</v>
      </c>
      <c r="P37" s="66">
        <f>MAX(I37*1000/'Calculation Constants'!$B$14,O37*10*I37*1000/2/('Calculation Constants'!$B$12*1000*'Calculation Constants'!$B$13))</f>
        <v>11.875</v>
      </c>
      <c r="Q37" s="68">
        <f t="shared" si="1"/>
        <v>1105894.9783427313</v>
      </c>
      <c r="R37" s="27">
        <f>(1/(2*LOG(3.7*$I37/'Calculation Constants'!$B$2*1000)))^2</f>
        <v>8.6699836115820689E-3</v>
      </c>
      <c r="S37" s="19">
        <f t="shared" si="13"/>
        <v>0.96467850809376621</v>
      </c>
      <c r="T37" s="19">
        <f>IF($H37&gt;0,'Calculation Constants'!$B$9*Hydraulics!$K37^2/2/9.81/MAX($F$4:$F$253)*$H37,"")</f>
        <v>6.3421890311175441E-2</v>
      </c>
      <c r="U37" s="19">
        <f t="shared" si="14"/>
        <v>1.0281003984049417</v>
      </c>
      <c r="V37" s="19">
        <f t="shared" si="2"/>
        <v>0</v>
      </c>
      <c r="W37" s="19">
        <f t="shared" si="3"/>
        <v>51.448690836688911</v>
      </c>
      <c r="X37" s="23">
        <f t="shared" si="15"/>
        <v>1088.023690836689</v>
      </c>
      <c r="Y37" s="22">
        <f>(1/(2*LOG(3.7*$I37/'Calculation Constants'!$B$3*1000)))^2</f>
        <v>9.7303620360708887E-3</v>
      </c>
      <c r="Z37" s="19">
        <f t="shared" si="4"/>
        <v>1.0826630767363397</v>
      </c>
      <c r="AA37" s="19">
        <f>IF($H37&gt;0,'Calculation Constants'!$B$9*Hydraulics!$K37^2/2/9.81/MAX($F$4:$F$253)*$H37,"")</f>
        <v>6.3421890311175441E-2</v>
      </c>
      <c r="AB37" s="19">
        <f t="shared" si="27"/>
        <v>1.1460849670475151</v>
      </c>
      <c r="AC37" s="19">
        <f t="shared" si="5"/>
        <v>0</v>
      </c>
      <c r="AD37" s="19">
        <f t="shared" si="17"/>
        <v>48.735045757907528</v>
      </c>
      <c r="AE37" s="23">
        <f t="shared" si="18"/>
        <v>1085.3100457579076</v>
      </c>
      <c r="AF37" s="27">
        <f>(1/(2*LOG(3.7*$I37/'Calculation Constants'!$B$4*1000)))^2</f>
        <v>1.1458969193927592E-2</v>
      </c>
      <c r="AG37" s="19">
        <f t="shared" si="6"/>
        <v>1.274999100520025</v>
      </c>
      <c r="AH37" s="19">
        <f>IF($H37&gt;0,'Calculation Constants'!$B$9*Hydraulics!$K37^2/2/9.81/MAX($F$4:$F$253)*$H37,"")</f>
        <v>6.3421890311175441E-2</v>
      </c>
      <c r="AI37" s="19">
        <f t="shared" si="19"/>
        <v>1.3384209908312004</v>
      </c>
      <c r="AJ37" s="19">
        <f t="shared" si="7"/>
        <v>0</v>
      </c>
      <c r="AK37" s="19">
        <f t="shared" si="20"/>
        <v>44.311317210879906</v>
      </c>
      <c r="AL37" s="23">
        <f t="shared" si="21"/>
        <v>1080.88631721088</v>
      </c>
      <c r="AM37" s="22">
        <f>(1/(2*LOG(3.7*($I37-0.008)/'Calculation Constants'!$B$5*1000)))^2</f>
        <v>1.4542845531075887E-2</v>
      </c>
      <c r="AN37" s="19">
        <f t="shared" si="22"/>
        <v>1.6249731396833385</v>
      </c>
      <c r="AO37" s="19">
        <f>IF($H37&gt;0,'Calculation Constants'!$B$9*Hydraulics!$K37^2/2/9.81/MAX($F$4:$F$253)*$H37,"")</f>
        <v>6.3421890311175441E-2</v>
      </c>
      <c r="AP37" s="19">
        <f t="shared" si="23"/>
        <v>1.6883950299945139</v>
      </c>
      <c r="AQ37" s="19">
        <f t="shared" si="8"/>
        <v>0</v>
      </c>
      <c r="AR37" s="19">
        <f t="shared" si="24"/>
        <v>36.261914310124666</v>
      </c>
      <c r="AS37" s="23">
        <f t="shared" si="25"/>
        <v>1072.8369143101247</v>
      </c>
    </row>
    <row r="38" spans="5:45">
      <c r="E38" s="35" t="str">
        <f t="shared" si="9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6"/>
        <v>2</v>
      </c>
      <c r="I38" s="19">
        <v>1.9</v>
      </c>
      <c r="J38" s="36">
        <f>'Flow Rate Calculations'!$B$7</f>
        <v>4.0831050228310497</v>
      </c>
      <c r="K38" s="36">
        <f t="shared" si="10"/>
        <v>1.440102709245225</v>
      </c>
      <c r="L38" s="37">
        <f>$I38*$K38/'Calculation Constants'!$B$7</f>
        <v>2421411.6350140949</v>
      </c>
      <c r="M38" s="37">
        <f t="shared" si="11"/>
        <v>79.852000000000089</v>
      </c>
      <c r="N38" s="23">
        <f t="shared" si="12"/>
        <v>55.177590438284142</v>
      </c>
      <c r="O38" s="57">
        <f t="shared" si="0"/>
        <v>79.852000000000089</v>
      </c>
      <c r="P38" s="66">
        <f>MAX(I38*1000/'Calculation Constants'!$B$14,O38*10*I38*1000/2/('Calculation Constants'!$B$12*1000*'Calculation Constants'!$B$13))</f>
        <v>11.875</v>
      </c>
      <c r="Q38" s="68">
        <f t="shared" si="1"/>
        <v>1105894.9783427313</v>
      </c>
      <c r="R38" s="27">
        <f>(1/(2*LOG(3.7*$I38/'Calculation Constants'!$B$2*1000)))^2</f>
        <v>8.6699836115820689E-3</v>
      </c>
      <c r="S38" s="19">
        <f t="shared" si="13"/>
        <v>0.96467850809376621</v>
      </c>
      <c r="T38" s="19">
        <f>IF($H38&gt;0,'Calculation Constants'!$B$9*Hydraulics!$K38^2/2/9.81/MAX($F$4:$F$253)*$H38,"")</f>
        <v>6.3421890311175441E-2</v>
      </c>
      <c r="U38" s="19">
        <f t="shared" si="14"/>
        <v>1.0281003984049417</v>
      </c>
      <c r="V38" s="19">
        <f t="shared" si="2"/>
        <v>0</v>
      </c>
      <c r="W38" s="19">
        <f t="shared" si="3"/>
        <v>55.177590438284142</v>
      </c>
      <c r="X38" s="23">
        <f t="shared" si="15"/>
        <v>1086.9955904382841</v>
      </c>
      <c r="Y38" s="22">
        <f>(1/(2*LOG(3.7*$I38/'Calculation Constants'!$B$3*1000)))^2</f>
        <v>9.7303620360708887E-3</v>
      </c>
      <c r="Z38" s="19">
        <f t="shared" si="4"/>
        <v>1.0826630767363397</v>
      </c>
      <c r="AA38" s="19">
        <f>IF($H38&gt;0,'Calculation Constants'!$B$9*Hydraulics!$K38^2/2/9.81/MAX($F$4:$F$253)*$H38,"")</f>
        <v>6.3421890311175441E-2</v>
      </c>
      <c r="AB38" s="19">
        <f t="shared" si="27"/>
        <v>1.1460849670475151</v>
      </c>
      <c r="AC38" s="19">
        <f t="shared" si="5"/>
        <v>0</v>
      </c>
      <c r="AD38" s="19">
        <f t="shared" si="17"/>
        <v>52.34596079086009</v>
      </c>
      <c r="AE38" s="23">
        <f t="shared" si="18"/>
        <v>1084.1639607908601</v>
      </c>
      <c r="AF38" s="27">
        <f>(1/(2*LOG(3.7*$I38/'Calculation Constants'!$B$4*1000)))^2</f>
        <v>1.1458969193927592E-2</v>
      </c>
      <c r="AG38" s="19">
        <f t="shared" si="6"/>
        <v>1.274999100520025</v>
      </c>
      <c r="AH38" s="19">
        <f>IF($H38&gt;0,'Calculation Constants'!$B$9*Hydraulics!$K38^2/2/9.81/MAX($F$4:$F$253)*$H38,"")</f>
        <v>6.3421890311175441E-2</v>
      </c>
      <c r="AI38" s="19">
        <f t="shared" si="19"/>
        <v>1.3384209908312004</v>
      </c>
      <c r="AJ38" s="19">
        <f t="shared" si="7"/>
        <v>0</v>
      </c>
      <c r="AK38" s="19">
        <f t="shared" si="20"/>
        <v>47.729896220048659</v>
      </c>
      <c r="AL38" s="23">
        <f t="shared" si="21"/>
        <v>1079.5478962200486</v>
      </c>
      <c r="AM38" s="22">
        <f>(1/(2*LOG(3.7*($I38-0.008)/'Calculation Constants'!$B$5*1000)))^2</f>
        <v>1.4542845531075887E-2</v>
      </c>
      <c r="AN38" s="19">
        <f t="shared" si="22"/>
        <v>1.6249731396833385</v>
      </c>
      <c r="AO38" s="19">
        <f>IF($H38&gt;0,'Calculation Constants'!$B$9*Hydraulics!$K38^2/2/9.81/MAX($F$4:$F$253)*$H38,"")</f>
        <v>6.3421890311175441E-2</v>
      </c>
      <c r="AP38" s="19">
        <f t="shared" si="23"/>
        <v>1.6883950299945139</v>
      </c>
      <c r="AQ38" s="19">
        <f t="shared" si="8"/>
        <v>0</v>
      </c>
      <c r="AR38" s="19">
        <f t="shared" si="24"/>
        <v>39.330519280130147</v>
      </c>
      <c r="AS38" s="23">
        <f t="shared" si="25"/>
        <v>1071.1485192801301</v>
      </c>
    </row>
    <row r="39" spans="5:45">
      <c r="E39" s="35" t="str">
        <f t="shared" si="9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6"/>
        <v>2</v>
      </c>
      <c r="I39" s="19">
        <v>1.9</v>
      </c>
      <c r="J39" s="36">
        <f>'Flow Rate Calculations'!$B$7</f>
        <v>4.0831050228310497</v>
      </c>
      <c r="K39" s="36">
        <f t="shared" si="10"/>
        <v>1.440102709245225</v>
      </c>
      <c r="L39" s="37">
        <f>$I39*$K39/'Calculation Constants'!$B$7</f>
        <v>2421411.6350140949</v>
      </c>
      <c r="M39" s="37">
        <f t="shared" si="11"/>
        <v>83.995000000000118</v>
      </c>
      <c r="N39" s="23">
        <f t="shared" si="12"/>
        <v>58.29249003987934</v>
      </c>
      <c r="O39" s="57">
        <f t="shared" si="0"/>
        <v>83.995000000000118</v>
      </c>
      <c r="P39" s="66">
        <f>MAX(I39*1000/'Calculation Constants'!$B$14,O39*10*I39*1000/2/('Calculation Constants'!$B$12*1000*'Calculation Constants'!$B$13))</f>
        <v>11.875</v>
      </c>
      <c r="Q39" s="68">
        <f t="shared" si="1"/>
        <v>1105894.9783427313</v>
      </c>
      <c r="R39" s="27">
        <f>(1/(2*LOG(3.7*$I39/'Calculation Constants'!$B$2*1000)))^2</f>
        <v>8.6699836115820689E-3</v>
      </c>
      <c r="S39" s="19">
        <f t="shared" si="13"/>
        <v>0.96467850809376621</v>
      </c>
      <c r="T39" s="19">
        <f>IF($H39&gt;0,'Calculation Constants'!$B$9*Hydraulics!$K39^2/2/9.81/MAX($F$4:$F$253)*$H39,"")</f>
        <v>6.3421890311175441E-2</v>
      </c>
      <c r="U39" s="19">
        <f t="shared" si="14"/>
        <v>1.0281003984049417</v>
      </c>
      <c r="V39" s="19">
        <f t="shared" si="2"/>
        <v>0</v>
      </c>
      <c r="W39" s="19">
        <f t="shared" si="3"/>
        <v>58.29249003987934</v>
      </c>
      <c r="X39" s="23">
        <f t="shared" si="15"/>
        <v>1085.9674900398793</v>
      </c>
      <c r="Y39" s="22">
        <f>(1/(2*LOG(3.7*$I39/'Calculation Constants'!$B$3*1000)))^2</f>
        <v>9.7303620360708887E-3</v>
      </c>
      <c r="Z39" s="19">
        <f t="shared" si="4"/>
        <v>1.0826630767363397</v>
      </c>
      <c r="AA39" s="19">
        <f>IF($H39&gt;0,'Calculation Constants'!$B$9*Hydraulics!$K39^2/2/9.81/MAX($F$4:$F$253)*$H39,"")</f>
        <v>6.3421890311175441E-2</v>
      </c>
      <c r="AB39" s="19">
        <f t="shared" si="27"/>
        <v>1.1460849670475151</v>
      </c>
      <c r="AC39" s="19">
        <f t="shared" si="5"/>
        <v>0</v>
      </c>
      <c r="AD39" s="19">
        <f t="shared" si="17"/>
        <v>55.342875823812619</v>
      </c>
      <c r="AE39" s="23">
        <f t="shared" si="18"/>
        <v>1083.0178758238126</v>
      </c>
      <c r="AF39" s="27">
        <f>(1/(2*LOG(3.7*$I39/'Calculation Constants'!$B$4*1000)))^2</f>
        <v>1.1458969193927592E-2</v>
      </c>
      <c r="AG39" s="19">
        <f t="shared" si="6"/>
        <v>1.274999100520025</v>
      </c>
      <c r="AH39" s="19">
        <f>IF($H39&gt;0,'Calculation Constants'!$B$9*Hydraulics!$K39^2/2/9.81/MAX($F$4:$F$253)*$H39,"")</f>
        <v>6.3421890311175441E-2</v>
      </c>
      <c r="AI39" s="19">
        <f t="shared" si="19"/>
        <v>1.3384209908312004</v>
      </c>
      <c r="AJ39" s="19">
        <f t="shared" si="7"/>
        <v>0</v>
      </c>
      <c r="AK39" s="19">
        <f t="shared" si="20"/>
        <v>50.534475229217378</v>
      </c>
      <c r="AL39" s="23">
        <f t="shared" si="21"/>
        <v>1078.2094752292173</v>
      </c>
      <c r="AM39" s="22">
        <f>(1/(2*LOG(3.7*($I39-0.008)/'Calculation Constants'!$B$5*1000)))^2</f>
        <v>1.4542845531075887E-2</v>
      </c>
      <c r="AN39" s="19">
        <f t="shared" si="22"/>
        <v>1.6249731396833385</v>
      </c>
      <c r="AO39" s="19">
        <f>IF($H39&gt;0,'Calculation Constants'!$B$9*Hydraulics!$K39^2/2/9.81/MAX($F$4:$F$253)*$H39,"")</f>
        <v>6.3421890311175441E-2</v>
      </c>
      <c r="AP39" s="19">
        <f t="shared" si="23"/>
        <v>1.6883950299945139</v>
      </c>
      <c r="AQ39" s="19">
        <f t="shared" si="8"/>
        <v>0</v>
      </c>
      <c r="AR39" s="19">
        <f t="shared" si="24"/>
        <v>41.785124250135596</v>
      </c>
      <c r="AS39" s="23">
        <f t="shared" si="25"/>
        <v>1069.4601242501356</v>
      </c>
    </row>
    <row r="40" spans="5:45">
      <c r="E40" s="35" t="str">
        <f t="shared" si="9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6"/>
        <v>2</v>
      </c>
      <c r="I40" s="19">
        <v>1.9</v>
      </c>
      <c r="J40" s="36">
        <f>'Flow Rate Calculations'!$B$7</f>
        <v>4.0831050228310497</v>
      </c>
      <c r="K40" s="36">
        <f t="shared" si="10"/>
        <v>1.440102709245225</v>
      </c>
      <c r="L40" s="37">
        <f>$I40*$K40/'Calculation Constants'!$B$7</f>
        <v>2421411.6350140949</v>
      </c>
      <c r="M40" s="37">
        <f t="shared" si="11"/>
        <v>87.826000000000022</v>
      </c>
      <c r="N40" s="23">
        <f t="shared" si="12"/>
        <v>61.095389641474412</v>
      </c>
      <c r="O40" s="57">
        <f t="shared" si="0"/>
        <v>87.826000000000022</v>
      </c>
      <c r="P40" s="66">
        <f>MAX(I40*1000/'Calculation Constants'!$B$14,O40*10*I40*1000/2/('Calculation Constants'!$B$12*1000*'Calculation Constants'!$B$13))</f>
        <v>11.875</v>
      </c>
      <c r="Q40" s="68">
        <f t="shared" si="1"/>
        <v>1105894.9783427313</v>
      </c>
      <c r="R40" s="27">
        <f>(1/(2*LOG(3.7*$I40/'Calculation Constants'!$B$2*1000)))^2</f>
        <v>8.6699836115820689E-3</v>
      </c>
      <c r="S40" s="19">
        <f t="shared" si="13"/>
        <v>0.96467850809376621</v>
      </c>
      <c r="T40" s="19">
        <f>IF($H40&gt;0,'Calculation Constants'!$B$9*Hydraulics!$K40^2/2/9.81/MAX($F$4:$F$253)*$H40,"")</f>
        <v>6.3421890311175441E-2</v>
      </c>
      <c r="U40" s="19">
        <f t="shared" si="14"/>
        <v>1.0281003984049417</v>
      </c>
      <c r="V40" s="19">
        <f t="shared" si="2"/>
        <v>0</v>
      </c>
      <c r="W40" s="19">
        <f t="shared" si="3"/>
        <v>61.095389641474412</v>
      </c>
      <c r="X40" s="23">
        <f t="shared" si="15"/>
        <v>1084.9393896414745</v>
      </c>
      <c r="Y40" s="22">
        <f>(1/(2*LOG(3.7*$I40/'Calculation Constants'!$B$3*1000)))^2</f>
        <v>9.7303620360708887E-3</v>
      </c>
      <c r="Z40" s="19">
        <f t="shared" si="4"/>
        <v>1.0826630767363397</v>
      </c>
      <c r="AA40" s="19">
        <f>IF($H40&gt;0,'Calculation Constants'!$B$9*Hydraulics!$K40^2/2/9.81/MAX($F$4:$F$253)*$H40,"")</f>
        <v>6.3421890311175441E-2</v>
      </c>
      <c r="AB40" s="19">
        <f t="shared" si="27"/>
        <v>1.1460849670475151</v>
      </c>
      <c r="AC40" s="19">
        <f t="shared" si="5"/>
        <v>0</v>
      </c>
      <c r="AD40" s="19">
        <f t="shared" si="17"/>
        <v>58.027790856765023</v>
      </c>
      <c r="AE40" s="23">
        <f t="shared" si="18"/>
        <v>1081.8717908567651</v>
      </c>
      <c r="AF40" s="27">
        <f>(1/(2*LOG(3.7*$I40/'Calculation Constants'!$B$4*1000)))^2</f>
        <v>1.1458969193927592E-2</v>
      </c>
      <c r="AG40" s="19">
        <f t="shared" si="6"/>
        <v>1.274999100520025</v>
      </c>
      <c r="AH40" s="19">
        <f>IF($H40&gt;0,'Calculation Constants'!$B$9*Hydraulics!$K40^2/2/9.81/MAX($F$4:$F$253)*$H40,"")</f>
        <v>6.3421890311175441E-2</v>
      </c>
      <c r="AI40" s="19">
        <f t="shared" si="19"/>
        <v>1.3384209908312004</v>
      </c>
      <c r="AJ40" s="19">
        <f t="shared" si="7"/>
        <v>0</v>
      </c>
      <c r="AK40" s="19">
        <f t="shared" si="20"/>
        <v>53.027054238385972</v>
      </c>
      <c r="AL40" s="23">
        <f t="shared" si="21"/>
        <v>1076.871054238386</v>
      </c>
      <c r="AM40" s="22">
        <f>(1/(2*LOG(3.7*($I40-0.008)/'Calculation Constants'!$B$5*1000)))^2</f>
        <v>1.4542845531075887E-2</v>
      </c>
      <c r="AN40" s="19">
        <f t="shared" si="22"/>
        <v>1.6249731396833385</v>
      </c>
      <c r="AO40" s="19">
        <f>IF($H40&gt;0,'Calculation Constants'!$B$9*Hydraulics!$K40^2/2/9.81/MAX($F$4:$F$253)*$H40,"")</f>
        <v>6.3421890311175441E-2</v>
      </c>
      <c r="AP40" s="19">
        <f t="shared" si="23"/>
        <v>1.6883950299945139</v>
      </c>
      <c r="AQ40" s="19">
        <f t="shared" si="8"/>
        <v>0</v>
      </c>
      <c r="AR40" s="19">
        <f t="shared" si="24"/>
        <v>43.927729220140918</v>
      </c>
      <c r="AS40" s="23">
        <f t="shared" si="25"/>
        <v>1067.771729220141</v>
      </c>
    </row>
    <row r="41" spans="5:45">
      <c r="E41" s="35" t="str">
        <f t="shared" si="9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6"/>
        <v>2</v>
      </c>
      <c r="I41" s="19">
        <v>1.9</v>
      </c>
      <c r="J41" s="36">
        <f>'Flow Rate Calculations'!$B$7</f>
        <v>4.0831050228310497</v>
      </c>
      <c r="K41" s="36">
        <f t="shared" si="10"/>
        <v>1.440102709245225</v>
      </c>
      <c r="L41" s="37">
        <f>$I41*$K41/'Calculation Constants'!$B$7</f>
        <v>2421411.6350140949</v>
      </c>
      <c r="M41" s="37">
        <f t="shared" si="11"/>
        <v>90.782000000000039</v>
      </c>
      <c r="N41" s="23">
        <f t="shared" si="12"/>
        <v>63.023289243069598</v>
      </c>
      <c r="O41" s="57">
        <f t="shared" si="0"/>
        <v>90.782000000000039</v>
      </c>
      <c r="P41" s="66">
        <f>MAX(I41*1000/'Calculation Constants'!$B$14,O41*10*I41*1000/2/('Calculation Constants'!$B$12*1000*'Calculation Constants'!$B$13))</f>
        <v>11.875</v>
      </c>
      <c r="Q41" s="68">
        <f t="shared" si="1"/>
        <v>1105894.9783427313</v>
      </c>
      <c r="R41" s="27">
        <f>(1/(2*LOG(3.7*$I41/'Calculation Constants'!$B$2*1000)))^2</f>
        <v>8.6699836115820689E-3</v>
      </c>
      <c r="S41" s="19">
        <f t="shared" si="13"/>
        <v>0.96467850809376621</v>
      </c>
      <c r="T41" s="19">
        <f>IF($H41&gt;0,'Calculation Constants'!$B$9*Hydraulics!$K41^2/2/9.81/MAX($F$4:$F$253)*$H41,"")</f>
        <v>6.3421890311175441E-2</v>
      </c>
      <c r="U41" s="19">
        <f t="shared" si="14"/>
        <v>1.0281003984049417</v>
      </c>
      <c r="V41" s="19">
        <f t="shared" si="2"/>
        <v>0</v>
      </c>
      <c r="W41" s="19">
        <f t="shared" si="3"/>
        <v>63.023289243069598</v>
      </c>
      <c r="X41" s="23">
        <f t="shared" si="15"/>
        <v>1083.9112892430696</v>
      </c>
      <c r="Y41" s="22">
        <f>(1/(2*LOG(3.7*$I41/'Calculation Constants'!$B$3*1000)))^2</f>
        <v>9.7303620360708887E-3</v>
      </c>
      <c r="Z41" s="19">
        <f t="shared" si="4"/>
        <v>1.0826630767363397</v>
      </c>
      <c r="AA41" s="19">
        <f>IF($H41&gt;0,'Calculation Constants'!$B$9*Hydraulics!$K41^2/2/9.81/MAX($F$4:$F$253)*$H41,"")</f>
        <v>6.3421890311175441E-2</v>
      </c>
      <c r="AB41" s="19">
        <f t="shared" si="27"/>
        <v>1.1460849670475151</v>
      </c>
      <c r="AC41" s="19">
        <f t="shared" si="5"/>
        <v>0</v>
      </c>
      <c r="AD41" s="19">
        <f t="shared" si="17"/>
        <v>59.83770588971754</v>
      </c>
      <c r="AE41" s="23">
        <f t="shared" si="18"/>
        <v>1080.7257058897176</v>
      </c>
      <c r="AF41" s="27">
        <f>(1/(2*LOG(3.7*$I41/'Calculation Constants'!$B$4*1000)))^2</f>
        <v>1.1458969193927592E-2</v>
      </c>
      <c r="AG41" s="19">
        <f t="shared" si="6"/>
        <v>1.274999100520025</v>
      </c>
      <c r="AH41" s="19">
        <f>IF($H41&gt;0,'Calculation Constants'!$B$9*Hydraulics!$K41^2/2/9.81/MAX($F$4:$F$253)*$H41,"")</f>
        <v>6.3421890311175441E-2</v>
      </c>
      <c r="AI41" s="19">
        <f t="shared" si="19"/>
        <v>1.3384209908312004</v>
      </c>
      <c r="AJ41" s="19">
        <f t="shared" si="7"/>
        <v>0</v>
      </c>
      <c r="AK41" s="19">
        <f t="shared" si="20"/>
        <v>54.64463324755468</v>
      </c>
      <c r="AL41" s="23">
        <f t="shared" si="21"/>
        <v>1075.5326332475547</v>
      </c>
      <c r="AM41" s="22">
        <f>(1/(2*LOG(3.7*($I41-0.008)/'Calculation Constants'!$B$5*1000)))^2</f>
        <v>1.4542845531075887E-2</v>
      </c>
      <c r="AN41" s="19">
        <f t="shared" si="22"/>
        <v>1.6249731396833385</v>
      </c>
      <c r="AO41" s="19">
        <f>IF($H41&gt;0,'Calculation Constants'!$B$9*Hydraulics!$K41^2/2/9.81/MAX($F$4:$F$253)*$H41,"")</f>
        <v>6.3421890311175441E-2</v>
      </c>
      <c r="AP41" s="19">
        <f t="shared" si="23"/>
        <v>1.6883950299945139</v>
      </c>
      <c r="AQ41" s="19">
        <f t="shared" si="8"/>
        <v>0</v>
      </c>
      <c r="AR41" s="19">
        <f t="shared" si="24"/>
        <v>45.195334190146355</v>
      </c>
      <c r="AS41" s="23">
        <f t="shared" si="25"/>
        <v>1066.0833341901464</v>
      </c>
    </row>
    <row r="42" spans="5:45">
      <c r="E42" s="35" t="str">
        <f t="shared" si="9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6"/>
        <v>2</v>
      </c>
      <c r="I42" s="19">
        <v>1.9</v>
      </c>
      <c r="J42" s="36">
        <f>'Flow Rate Calculations'!$B$7</f>
        <v>4.0831050228310497</v>
      </c>
      <c r="K42" s="36">
        <f t="shared" si="10"/>
        <v>1.440102709245225</v>
      </c>
      <c r="L42" s="37">
        <f>$I42*$K42/'Calculation Constants'!$B$7</f>
        <v>2421411.6350140949</v>
      </c>
      <c r="M42" s="37">
        <f t="shared" si="11"/>
        <v>88.022000000000048</v>
      </c>
      <c r="N42" s="23">
        <f t="shared" si="12"/>
        <v>59.235188844664776</v>
      </c>
      <c r="O42" s="57">
        <f t="shared" si="0"/>
        <v>88.022000000000048</v>
      </c>
      <c r="P42" s="66">
        <f>MAX(I42*1000/'Calculation Constants'!$B$14,O42*10*I42*1000/2/('Calculation Constants'!$B$12*1000*'Calculation Constants'!$B$13))</f>
        <v>11.875</v>
      </c>
      <c r="Q42" s="68">
        <f t="shared" si="1"/>
        <v>1105894.9783427313</v>
      </c>
      <c r="R42" s="27">
        <f>(1/(2*LOG(3.7*$I42/'Calculation Constants'!$B$2*1000)))^2</f>
        <v>8.6699836115820689E-3</v>
      </c>
      <c r="S42" s="19">
        <f t="shared" si="13"/>
        <v>0.96467850809376621</v>
      </c>
      <c r="T42" s="19">
        <f>IF($H42&gt;0,'Calculation Constants'!$B$9*Hydraulics!$K42^2/2/9.81/MAX($F$4:$F$253)*$H42,"")</f>
        <v>6.3421890311175441E-2</v>
      </c>
      <c r="U42" s="19">
        <f t="shared" si="14"/>
        <v>1.0281003984049417</v>
      </c>
      <c r="V42" s="19">
        <f t="shared" si="2"/>
        <v>0</v>
      </c>
      <c r="W42" s="19">
        <f t="shared" si="3"/>
        <v>59.235188844664776</v>
      </c>
      <c r="X42" s="23">
        <f t="shared" si="15"/>
        <v>1082.8831888446648</v>
      </c>
      <c r="Y42" s="22">
        <f>(1/(2*LOG(3.7*$I42/'Calculation Constants'!$B$3*1000)))^2</f>
        <v>9.7303620360708887E-3</v>
      </c>
      <c r="Z42" s="19">
        <f t="shared" si="4"/>
        <v>1.0826630767363397</v>
      </c>
      <c r="AA42" s="19">
        <f>IF($H42&gt;0,'Calculation Constants'!$B$9*Hydraulics!$K42^2/2/9.81/MAX($F$4:$F$253)*$H42,"")</f>
        <v>6.3421890311175441E-2</v>
      </c>
      <c r="AB42" s="19">
        <f t="shared" si="27"/>
        <v>1.1460849670475151</v>
      </c>
      <c r="AC42" s="19">
        <f t="shared" si="5"/>
        <v>0</v>
      </c>
      <c r="AD42" s="19">
        <f t="shared" si="17"/>
        <v>55.931620922670049</v>
      </c>
      <c r="AE42" s="23">
        <f t="shared" si="18"/>
        <v>1079.5796209226701</v>
      </c>
      <c r="AF42" s="27">
        <f>(1/(2*LOG(3.7*$I42/'Calculation Constants'!$B$4*1000)))^2</f>
        <v>1.1458969193927592E-2</v>
      </c>
      <c r="AG42" s="19">
        <f t="shared" si="6"/>
        <v>1.274999100520025</v>
      </c>
      <c r="AH42" s="19">
        <f>IF($H42&gt;0,'Calculation Constants'!$B$9*Hydraulics!$K42^2/2/9.81/MAX($F$4:$F$253)*$H42,"")</f>
        <v>6.3421890311175441E-2</v>
      </c>
      <c r="AI42" s="19">
        <f t="shared" si="19"/>
        <v>1.3384209908312004</v>
      </c>
      <c r="AJ42" s="19">
        <f t="shared" si="7"/>
        <v>0</v>
      </c>
      <c r="AK42" s="19">
        <f t="shared" si="20"/>
        <v>50.546212256723379</v>
      </c>
      <c r="AL42" s="23">
        <f t="shared" si="21"/>
        <v>1074.1942122567234</v>
      </c>
      <c r="AM42" s="22">
        <f>(1/(2*LOG(3.7*($I42-0.008)/'Calculation Constants'!$B$5*1000)))^2</f>
        <v>1.4542845531075887E-2</v>
      </c>
      <c r="AN42" s="19">
        <f t="shared" si="22"/>
        <v>1.6249731396833385</v>
      </c>
      <c r="AO42" s="19">
        <f>IF($H42&gt;0,'Calculation Constants'!$B$9*Hydraulics!$K42^2/2/9.81/MAX($F$4:$F$253)*$H42,"")</f>
        <v>6.3421890311175441E-2</v>
      </c>
      <c r="AP42" s="19">
        <f t="shared" si="23"/>
        <v>1.6883950299945139</v>
      </c>
      <c r="AQ42" s="19">
        <f t="shared" si="8"/>
        <v>0</v>
      </c>
      <c r="AR42" s="19">
        <f t="shared" si="24"/>
        <v>40.746939160151783</v>
      </c>
      <c r="AS42" s="23">
        <f t="shared" si="25"/>
        <v>1064.3949391601518</v>
      </c>
    </row>
    <row r="43" spans="5:45">
      <c r="E43" s="35" t="str">
        <f t="shared" si="9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6"/>
        <v>2</v>
      </c>
      <c r="I43" s="19">
        <v>1.9</v>
      </c>
      <c r="J43" s="36">
        <f>'Flow Rate Calculations'!$B$7</f>
        <v>4.0831050228310497</v>
      </c>
      <c r="K43" s="36">
        <f t="shared" si="10"/>
        <v>1.440102709245225</v>
      </c>
      <c r="L43" s="37">
        <f>$I43*$K43/'Calculation Constants'!$B$7</f>
        <v>2421411.6350140949</v>
      </c>
      <c r="M43" s="37">
        <f t="shared" si="11"/>
        <v>84.104000000000042</v>
      </c>
      <c r="N43" s="23">
        <f t="shared" si="12"/>
        <v>54.289088446259939</v>
      </c>
      <c r="O43" s="57">
        <f t="shared" si="0"/>
        <v>84.104000000000042</v>
      </c>
      <c r="P43" s="66">
        <f>MAX(I43*1000/'Calculation Constants'!$B$14,O43*10*I43*1000/2/('Calculation Constants'!$B$12*1000*'Calculation Constants'!$B$13))</f>
        <v>11.875</v>
      </c>
      <c r="Q43" s="68">
        <f t="shared" si="1"/>
        <v>1105894.9783427313</v>
      </c>
      <c r="R43" s="27">
        <f>(1/(2*LOG(3.7*$I43/'Calculation Constants'!$B$2*1000)))^2</f>
        <v>8.6699836115820689E-3</v>
      </c>
      <c r="S43" s="19">
        <f t="shared" si="13"/>
        <v>0.96467850809376621</v>
      </c>
      <c r="T43" s="19">
        <f>IF($H43&gt;0,'Calculation Constants'!$B$9*Hydraulics!$K43^2/2/9.81/MAX($F$4:$F$253)*$H43,"")</f>
        <v>6.3421890311175441E-2</v>
      </c>
      <c r="U43" s="19">
        <f t="shared" si="14"/>
        <v>1.0281003984049417</v>
      </c>
      <c r="V43" s="19">
        <f t="shared" si="2"/>
        <v>0</v>
      </c>
      <c r="W43" s="19">
        <f t="shared" si="3"/>
        <v>54.289088446259939</v>
      </c>
      <c r="X43" s="23">
        <f t="shared" si="15"/>
        <v>1081.85508844626</v>
      </c>
      <c r="Y43" s="22">
        <f>(1/(2*LOG(3.7*$I43/'Calculation Constants'!$B$3*1000)))^2</f>
        <v>9.7303620360708887E-3</v>
      </c>
      <c r="Z43" s="19">
        <f t="shared" si="4"/>
        <v>1.0826630767363397</v>
      </c>
      <c r="AA43" s="19">
        <f>IF($H43&gt;0,'Calculation Constants'!$B$9*Hydraulics!$K43^2/2/9.81/MAX($F$4:$F$253)*$H43,"")</f>
        <v>6.3421890311175441E-2</v>
      </c>
      <c r="AB43" s="19">
        <f t="shared" si="27"/>
        <v>1.1460849670475151</v>
      </c>
      <c r="AC43" s="19">
        <f t="shared" si="5"/>
        <v>0</v>
      </c>
      <c r="AD43" s="19">
        <f t="shared" si="17"/>
        <v>50.867535955622543</v>
      </c>
      <c r="AE43" s="23">
        <f t="shared" si="18"/>
        <v>1078.4335359556226</v>
      </c>
      <c r="AF43" s="27">
        <f>(1/(2*LOG(3.7*$I43/'Calculation Constants'!$B$4*1000)))^2</f>
        <v>1.1458969193927592E-2</v>
      </c>
      <c r="AG43" s="19">
        <f t="shared" si="6"/>
        <v>1.274999100520025</v>
      </c>
      <c r="AH43" s="19">
        <f>IF($H43&gt;0,'Calculation Constants'!$B$9*Hydraulics!$K43^2/2/9.81/MAX($F$4:$F$253)*$H43,"")</f>
        <v>6.3421890311175441E-2</v>
      </c>
      <c r="AI43" s="19">
        <f t="shared" si="19"/>
        <v>1.3384209908312004</v>
      </c>
      <c r="AJ43" s="19">
        <f t="shared" si="7"/>
        <v>0</v>
      </c>
      <c r="AK43" s="19">
        <f t="shared" si="20"/>
        <v>45.289791265892063</v>
      </c>
      <c r="AL43" s="23">
        <f t="shared" si="21"/>
        <v>1072.8557912658921</v>
      </c>
      <c r="AM43" s="22">
        <f>(1/(2*LOG(3.7*($I43-0.008)/'Calculation Constants'!$B$5*1000)))^2</f>
        <v>1.4542845531075887E-2</v>
      </c>
      <c r="AN43" s="19">
        <f t="shared" si="22"/>
        <v>1.6249731396833385</v>
      </c>
      <c r="AO43" s="19">
        <f>IF($H43&gt;0,'Calculation Constants'!$B$9*Hydraulics!$K43^2/2/9.81/MAX($F$4:$F$253)*$H43,"")</f>
        <v>6.3421890311175441E-2</v>
      </c>
      <c r="AP43" s="19">
        <f t="shared" si="23"/>
        <v>1.6883950299945139</v>
      </c>
      <c r="AQ43" s="19">
        <f t="shared" si="8"/>
        <v>0</v>
      </c>
      <c r="AR43" s="19">
        <f t="shared" si="24"/>
        <v>35.140544130157195</v>
      </c>
      <c r="AS43" s="23">
        <f t="shared" si="25"/>
        <v>1062.7065441301572</v>
      </c>
    </row>
    <row r="44" spans="5:45">
      <c r="E44" s="35" t="str">
        <f t="shared" si="9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6"/>
        <v>2</v>
      </c>
      <c r="I44" s="19">
        <v>1.9</v>
      </c>
      <c r="J44" s="36">
        <f>'Flow Rate Calculations'!$B$7</f>
        <v>4.0831050228310497</v>
      </c>
      <c r="K44" s="36">
        <f t="shared" si="10"/>
        <v>1.440102709245225</v>
      </c>
      <c r="L44" s="37">
        <f>$I44*$K44/'Calculation Constants'!$B$7</f>
        <v>2421411.6350140949</v>
      </c>
      <c r="M44" s="37">
        <f t="shared" si="11"/>
        <v>79.298999999999978</v>
      </c>
      <c r="N44" s="23">
        <f t="shared" si="12"/>
        <v>48.455988047855044</v>
      </c>
      <c r="O44" s="57">
        <f t="shared" si="0"/>
        <v>79.298999999999978</v>
      </c>
      <c r="P44" s="66">
        <f>MAX(I44*1000/'Calculation Constants'!$B$14,O44*10*I44*1000/2/('Calculation Constants'!$B$12*1000*'Calculation Constants'!$B$13))</f>
        <v>11.875</v>
      </c>
      <c r="Q44" s="68">
        <f t="shared" si="1"/>
        <v>1105894.9783427313</v>
      </c>
      <c r="R44" s="27">
        <f>(1/(2*LOG(3.7*$I44/'Calculation Constants'!$B$2*1000)))^2</f>
        <v>8.6699836115820689E-3</v>
      </c>
      <c r="S44" s="19">
        <f t="shared" si="13"/>
        <v>0.96467850809376621</v>
      </c>
      <c r="T44" s="19">
        <f>IF($H44&gt;0,'Calculation Constants'!$B$9*Hydraulics!$K44^2/2/9.81/MAX($F$4:$F$253)*$H44,"")</f>
        <v>6.3421890311175441E-2</v>
      </c>
      <c r="U44" s="19">
        <f t="shared" si="14"/>
        <v>1.0281003984049417</v>
      </c>
      <c r="V44" s="19">
        <f t="shared" si="2"/>
        <v>0</v>
      </c>
      <c r="W44" s="19">
        <f t="shared" si="3"/>
        <v>48.455988047855044</v>
      </c>
      <c r="X44" s="23">
        <f t="shared" si="15"/>
        <v>1080.8269880478551</v>
      </c>
      <c r="Y44" s="22">
        <f>(1/(2*LOG(3.7*$I44/'Calculation Constants'!$B$3*1000)))^2</f>
        <v>9.7303620360708887E-3</v>
      </c>
      <c r="Z44" s="19">
        <f t="shared" si="4"/>
        <v>1.0826630767363397</v>
      </c>
      <c r="AA44" s="19">
        <f>IF($H44&gt;0,'Calculation Constants'!$B$9*Hydraulics!$K44^2/2/9.81/MAX($F$4:$F$253)*$H44,"")</f>
        <v>6.3421890311175441E-2</v>
      </c>
      <c r="AB44" s="19">
        <f t="shared" si="27"/>
        <v>1.1460849670475151</v>
      </c>
      <c r="AC44" s="19">
        <f t="shared" si="5"/>
        <v>0</v>
      </c>
      <c r="AD44" s="19">
        <f t="shared" si="17"/>
        <v>44.916450988574979</v>
      </c>
      <c r="AE44" s="23">
        <f t="shared" si="18"/>
        <v>1077.2874509885751</v>
      </c>
      <c r="AF44" s="27">
        <f>(1/(2*LOG(3.7*$I44/'Calculation Constants'!$B$4*1000)))^2</f>
        <v>1.1458969193927592E-2</v>
      </c>
      <c r="AG44" s="19">
        <f t="shared" si="6"/>
        <v>1.274999100520025</v>
      </c>
      <c r="AH44" s="19">
        <f>IF($H44&gt;0,'Calculation Constants'!$B$9*Hydraulics!$K44^2/2/9.81/MAX($F$4:$F$253)*$H44,"")</f>
        <v>6.3421890311175441E-2</v>
      </c>
      <c r="AI44" s="19">
        <f t="shared" si="19"/>
        <v>1.3384209908312004</v>
      </c>
      <c r="AJ44" s="19">
        <f t="shared" si="7"/>
        <v>0</v>
      </c>
      <c r="AK44" s="19">
        <f t="shared" si="20"/>
        <v>39.14637027506069</v>
      </c>
      <c r="AL44" s="23">
        <f t="shared" si="21"/>
        <v>1071.5173702750608</v>
      </c>
      <c r="AM44" s="22">
        <f>(1/(2*LOG(3.7*($I44-0.008)/'Calculation Constants'!$B$5*1000)))^2</f>
        <v>1.4542845531075887E-2</v>
      </c>
      <c r="AN44" s="19">
        <f t="shared" si="22"/>
        <v>1.6249731396833385</v>
      </c>
      <c r="AO44" s="19">
        <f>IF($H44&gt;0,'Calculation Constants'!$B$9*Hydraulics!$K44^2/2/9.81/MAX($F$4:$F$253)*$H44,"")</f>
        <v>6.3421890311175441E-2</v>
      </c>
      <c r="AP44" s="19">
        <f t="shared" si="23"/>
        <v>1.6883950299945139</v>
      </c>
      <c r="AQ44" s="19">
        <f t="shared" si="8"/>
        <v>0</v>
      </c>
      <c r="AR44" s="19">
        <f t="shared" si="24"/>
        <v>28.647149100162551</v>
      </c>
      <c r="AS44" s="23">
        <f t="shared" si="25"/>
        <v>1061.0181491001626</v>
      </c>
    </row>
    <row r="45" spans="5:45">
      <c r="E45" s="35" t="str">
        <f t="shared" si="9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6"/>
        <v>2</v>
      </c>
      <c r="I45" s="19">
        <v>1.9</v>
      </c>
      <c r="J45" s="36">
        <f>'Flow Rate Calculations'!$B$7</f>
        <v>4.0831050228310497</v>
      </c>
      <c r="K45" s="36">
        <f t="shared" si="10"/>
        <v>1.440102709245225</v>
      </c>
      <c r="L45" s="37">
        <f>$I45*$K45/'Calculation Constants'!$B$7</f>
        <v>2421411.6350140949</v>
      </c>
      <c r="M45" s="37">
        <f t="shared" si="11"/>
        <v>76.687000000000126</v>
      </c>
      <c r="N45" s="23">
        <f t="shared" si="12"/>
        <v>44.81588764945036</v>
      </c>
      <c r="O45" s="57">
        <f t="shared" si="0"/>
        <v>76.687000000000126</v>
      </c>
      <c r="P45" s="66">
        <f>MAX(I45*1000/'Calculation Constants'!$B$14,O45*10*I45*1000/2/('Calculation Constants'!$B$12*1000*'Calculation Constants'!$B$13))</f>
        <v>11.875</v>
      </c>
      <c r="Q45" s="68">
        <f t="shared" si="1"/>
        <v>1105894.9783427313</v>
      </c>
      <c r="R45" s="27">
        <f>(1/(2*LOG(3.7*$I45/'Calculation Constants'!$B$2*1000)))^2</f>
        <v>8.6699836115820689E-3</v>
      </c>
      <c r="S45" s="19">
        <f t="shared" si="13"/>
        <v>0.96467850809376621</v>
      </c>
      <c r="T45" s="19">
        <f>IF($H45&gt;0,'Calculation Constants'!$B$9*Hydraulics!$K45^2/2/9.81/MAX($F$4:$F$253)*$H45,"")</f>
        <v>6.3421890311175441E-2</v>
      </c>
      <c r="U45" s="19">
        <f t="shared" si="14"/>
        <v>1.0281003984049417</v>
      </c>
      <c r="V45" s="19">
        <f t="shared" si="2"/>
        <v>0</v>
      </c>
      <c r="W45" s="19">
        <f t="shared" si="3"/>
        <v>44.81588764945036</v>
      </c>
      <c r="X45" s="23">
        <f t="shared" si="15"/>
        <v>1079.7988876494503</v>
      </c>
      <c r="Y45" s="22">
        <f>(1/(2*LOG(3.7*$I45/'Calculation Constants'!$B$3*1000)))^2</f>
        <v>9.7303620360708887E-3</v>
      </c>
      <c r="Z45" s="19">
        <f t="shared" si="4"/>
        <v>1.0826630767363397</v>
      </c>
      <c r="AA45" s="19">
        <f>IF($H45&gt;0,'Calculation Constants'!$B$9*Hydraulics!$K45^2/2/9.81/MAX($F$4:$F$253)*$H45,"")</f>
        <v>6.3421890311175441E-2</v>
      </c>
      <c r="AB45" s="19">
        <f t="shared" si="27"/>
        <v>1.1460849670475151</v>
      </c>
      <c r="AC45" s="19">
        <f t="shared" si="5"/>
        <v>0</v>
      </c>
      <c r="AD45" s="19">
        <f t="shared" si="17"/>
        <v>41.158366021527627</v>
      </c>
      <c r="AE45" s="23">
        <f t="shared" si="18"/>
        <v>1076.1413660215276</v>
      </c>
      <c r="AF45" s="27">
        <f>(1/(2*LOG(3.7*$I45/'Calculation Constants'!$B$4*1000)))^2</f>
        <v>1.1458969193927592E-2</v>
      </c>
      <c r="AG45" s="19">
        <f t="shared" si="6"/>
        <v>1.274999100520025</v>
      </c>
      <c r="AH45" s="19">
        <f>IF($H45&gt;0,'Calculation Constants'!$B$9*Hydraulics!$K45^2/2/9.81/MAX($F$4:$F$253)*$H45,"")</f>
        <v>6.3421890311175441E-2</v>
      </c>
      <c r="AI45" s="19">
        <f t="shared" si="19"/>
        <v>1.3384209908312004</v>
      </c>
      <c r="AJ45" s="19">
        <f t="shared" si="7"/>
        <v>0</v>
      </c>
      <c r="AK45" s="19">
        <f t="shared" si="20"/>
        <v>35.195949284229528</v>
      </c>
      <c r="AL45" s="23">
        <f t="shared" si="21"/>
        <v>1070.1789492842295</v>
      </c>
      <c r="AM45" s="22">
        <f>(1/(2*LOG(3.7*($I45-0.008)/'Calculation Constants'!$B$5*1000)))^2</f>
        <v>1.4542845531075887E-2</v>
      </c>
      <c r="AN45" s="19">
        <f t="shared" si="22"/>
        <v>1.6249731396833385</v>
      </c>
      <c r="AO45" s="19">
        <f>IF($H45&gt;0,'Calculation Constants'!$B$9*Hydraulics!$K45^2/2/9.81/MAX($F$4:$F$253)*$H45,"")</f>
        <v>6.3421890311175441E-2</v>
      </c>
      <c r="AP45" s="19">
        <f t="shared" si="23"/>
        <v>1.6883950299945139</v>
      </c>
      <c r="AQ45" s="19">
        <f t="shared" si="8"/>
        <v>0</v>
      </c>
      <c r="AR45" s="19">
        <f t="shared" si="24"/>
        <v>24.346754070168117</v>
      </c>
      <c r="AS45" s="23">
        <f t="shared" si="25"/>
        <v>1059.3297540701681</v>
      </c>
    </row>
    <row r="46" spans="5:45">
      <c r="E46" s="35" t="str">
        <f t="shared" si="9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6"/>
        <v>2</v>
      </c>
      <c r="I46" s="19">
        <v>1.9</v>
      </c>
      <c r="J46" s="36">
        <f>'Flow Rate Calculations'!$B$7</f>
        <v>4.0831050228310497</v>
      </c>
      <c r="K46" s="36">
        <f t="shared" si="10"/>
        <v>1.440102709245225</v>
      </c>
      <c r="L46" s="37">
        <f>$I46*$K46/'Calculation Constants'!$B$7</f>
        <v>2421411.6350140949</v>
      </c>
      <c r="M46" s="37">
        <f t="shared" si="11"/>
        <v>78.457000000000107</v>
      </c>
      <c r="N46" s="23">
        <f t="shared" si="12"/>
        <v>45.557787251045511</v>
      </c>
      <c r="O46" s="57">
        <f t="shared" si="0"/>
        <v>78.457000000000107</v>
      </c>
      <c r="P46" s="66">
        <f>MAX(I46*1000/'Calculation Constants'!$B$14,O46*10*I46*1000/2/('Calculation Constants'!$B$12*1000*'Calculation Constants'!$B$13))</f>
        <v>11.875</v>
      </c>
      <c r="Q46" s="68">
        <f t="shared" si="1"/>
        <v>1105894.9783427313</v>
      </c>
      <c r="R46" s="27">
        <f>(1/(2*LOG(3.7*$I46/'Calculation Constants'!$B$2*1000)))^2</f>
        <v>8.6699836115820689E-3</v>
      </c>
      <c r="S46" s="19">
        <f t="shared" si="13"/>
        <v>0.96467850809376621</v>
      </c>
      <c r="T46" s="19">
        <f>IF($H46&gt;0,'Calculation Constants'!$B$9*Hydraulics!$K46^2/2/9.81/MAX($F$4:$F$253)*$H46,"")</f>
        <v>6.3421890311175441E-2</v>
      </c>
      <c r="U46" s="19">
        <f t="shared" si="14"/>
        <v>1.0281003984049417</v>
      </c>
      <c r="V46" s="19">
        <f t="shared" si="2"/>
        <v>0</v>
      </c>
      <c r="W46" s="19">
        <f t="shared" si="3"/>
        <v>45.557787251045511</v>
      </c>
      <c r="X46" s="23">
        <f t="shared" si="15"/>
        <v>1078.7707872510455</v>
      </c>
      <c r="Y46" s="22">
        <f>(1/(2*LOG(3.7*$I46/'Calculation Constants'!$B$3*1000)))^2</f>
        <v>9.7303620360708887E-3</v>
      </c>
      <c r="Z46" s="19">
        <f t="shared" si="4"/>
        <v>1.0826630767363397</v>
      </c>
      <c r="AA46" s="19">
        <f>IF($H46&gt;0,'Calculation Constants'!$B$9*Hydraulics!$K46^2/2/9.81/MAX($F$4:$F$253)*$H46,"")</f>
        <v>6.3421890311175441E-2</v>
      </c>
      <c r="AB46" s="19">
        <f t="shared" si="27"/>
        <v>1.1460849670475151</v>
      </c>
      <c r="AC46" s="19">
        <f t="shared" si="5"/>
        <v>0</v>
      </c>
      <c r="AD46" s="19">
        <f t="shared" si="17"/>
        <v>41.782281054480109</v>
      </c>
      <c r="AE46" s="23">
        <f t="shared" si="18"/>
        <v>1074.9952810544801</v>
      </c>
      <c r="AF46" s="27">
        <f>(1/(2*LOG(3.7*$I46/'Calculation Constants'!$B$4*1000)))^2</f>
        <v>1.1458969193927592E-2</v>
      </c>
      <c r="AG46" s="19">
        <f t="shared" si="6"/>
        <v>1.274999100520025</v>
      </c>
      <c r="AH46" s="19">
        <f>IF($H46&gt;0,'Calculation Constants'!$B$9*Hydraulics!$K46^2/2/9.81/MAX($F$4:$F$253)*$H46,"")</f>
        <v>6.3421890311175441E-2</v>
      </c>
      <c r="AI46" s="19">
        <f t="shared" si="19"/>
        <v>1.3384209908312004</v>
      </c>
      <c r="AJ46" s="19">
        <f t="shared" si="7"/>
        <v>0</v>
      </c>
      <c r="AK46" s="19">
        <f t="shared" si="20"/>
        <v>35.6275282933982</v>
      </c>
      <c r="AL46" s="23">
        <f t="shared" si="21"/>
        <v>1068.8405282933982</v>
      </c>
      <c r="AM46" s="22">
        <f>(1/(2*LOG(3.7*($I46-0.008)/'Calculation Constants'!$B$5*1000)))^2</f>
        <v>1.4542845531075887E-2</v>
      </c>
      <c r="AN46" s="19">
        <f t="shared" si="22"/>
        <v>1.6249731396833385</v>
      </c>
      <c r="AO46" s="19">
        <f>IF($H46&gt;0,'Calculation Constants'!$B$9*Hydraulics!$K46^2/2/9.81/MAX($F$4:$F$253)*$H46,"")</f>
        <v>6.3421890311175441E-2</v>
      </c>
      <c r="AP46" s="19">
        <f t="shared" si="23"/>
        <v>1.6883950299945139</v>
      </c>
      <c r="AQ46" s="19">
        <f t="shared" si="8"/>
        <v>0</v>
      </c>
      <c r="AR46" s="19">
        <f t="shared" si="24"/>
        <v>24.428359040173518</v>
      </c>
      <c r="AS46" s="23">
        <f t="shared" si="25"/>
        <v>1057.6413590401735</v>
      </c>
    </row>
    <row r="47" spans="5:45">
      <c r="E47" s="35" t="str">
        <f t="shared" si="9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6"/>
        <v>2</v>
      </c>
      <c r="I47" s="19">
        <v>1.9</v>
      </c>
      <c r="J47" s="36">
        <f>'Flow Rate Calculations'!$B$7</f>
        <v>4.0831050228310497</v>
      </c>
      <c r="K47" s="36">
        <f t="shared" si="10"/>
        <v>1.440102709245225</v>
      </c>
      <c r="L47" s="37">
        <f>$I47*$K47/'Calculation Constants'!$B$7</f>
        <v>2421411.6350140949</v>
      </c>
      <c r="M47" s="37">
        <f t="shared" si="11"/>
        <v>80.481999999999971</v>
      </c>
      <c r="N47" s="23">
        <f t="shared" si="12"/>
        <v>46.554686852640543</v>
      </c>
      <c r="O47" s="57">
        <f t="shared" si="0"/>
        <v>80.481999999999971</v>
      </c>
      <c r="P47" s="66">
        <f>MAX(I47*1000/'Calculation Constants'!$B$14,O47*10*I47*1000/2/('Calculation Constants'!$B$12*1000*'Calculation Constants'!$B$13))</f>
        <v>11.875</v>
      </c>
      <c r="Q47" s="68">
        <f t="shared" si="1"/>
        <v>1105894.9783427313</v>
      </c>
      <c r="R47" s="27">
        <f>(1/(2*LOG(3.7*$I47/'Calculation Constants'!$B$2*1000)))^2</f>
        <v>8.6699836115820689E-3</v>
      </c>
      <c r="S47" s="19">
        <f t="shared" si="13"/>
        <v>0.96467850809376621</v>
      </c>
      <c r="T47" s="19">
        <f>IF($H47&gt;0,'Calculation Constants'!$B$9*Hydraulics!$K47^2/2/9.81/MAX($F$4:$F$253)*$H47,"")</f>
        <v>6.3421890311175441E-2</v>
      </c>
      <c r="U47" s="19">
        <f t="shared" si="14"/>
        <v>1.0281003984049417</v>
      </c>
      <c r="V47" s="19">
        <f t="shared" si="2"/>
        <v>0</v>
      </c>
      <c r="W47" s="19">
        <f t="shared" si="3"/>
        <v>46.554686852640543</v>
      </c>
      <c r="X47" s="23">
        <f t="shared" si="15"/>
        <v>1077.7426868526406</v>
      </c>
      <c r="Y47" s="22">
        <f>(1/(2*LOG(3.7*$I47/'Calculation Constants'!$B$3*1000)))^2</f>
        <v>9.7303620360708887E-3</v>
      </c>
      <c r="Z47" s="19">
        <f t="shared" si="4"/>
        <v>1.0826630767363397</v>
      </c>
      <c r="AA47" s="19">
        <f>IF($H47&gt;0,'Calculation Constants'!$B$9*Hydraulics!$K47^2/2/9.81/MAX($F$4:$F$253)*$H47,"")</f>
        <v>6.3421890311175441E-2</v>
      </c>
      <c r="AB47" s="19">
        <f t="shared" si="27"/>
        <v>1.1460849670475151</v>
      </c>
      <c r="AC47" s="19">
        <f t="shared" si="5"/>
        <v>0</v>
      </c>
      <c r="AD47" s="19">
        <f t="shared" si="17"/>
        <v>42.661196087432472</v>
      </c>
      <c r="AE47" s="23">
        <f t="shared" si="18"/>
        <v>1073.8491960874326</v>
      </c>
      <c r="AF47" s="27">
        <f>(1/(2*LOG(3.7*$I47/'Calculation Constants'!$B$4*1000)))^2</f>
        <v>1.1458969193927592E-2</v>
      </c>
      <c r="AG47" s="19">
        <f t="shared" si="6"/>
        <v>1.274999100520025</v>
      </c>
      <c r="AH47" s="19">
        <f>IF($H47&gt;0,'Calculation Constants'!$B$9*Hydraulics!$K47^2/2/9.81/MAX($F$4:$F$253)*$H47,"")</f>
        <v>6.3421890311175441E-2</v>
      </c>
      <c r="AI47" s="19">
        <f t="shared" si="19"/>
        <v>1.3384209908312004</v>
      </c>
      <c r="AJ47" s="19">
        <f t="shared" si="7"/>
        <v>0</v>
      </c>
      <c r="AK47" s="19">
        <f t="shared" si="20"/>
        <v>36.314107302566754</v>
      </c>
      <c r="AL47" s="23">
        <f t="shared" si="21"/>
        <v>1067.5021073025669</v>
      </c>
      <c r="AM47" s="22">
        <f>(1/(2*LOG(3.7*($I47-0.008)/'Calculation Constants'!$B$5*1000)))^2</f>
        <v>1.4542845531075887E-2</v>
      </c>
      <c r="AN47" s="19">
        <f t="shared" si="22"/>
        <v>1.6249731396833385</v>
      </c>
      <c r="AO47" s="19">
        <f>IF($H47&gt;0,'Calculation Constants'!$B$9*Hydraulics!$K47^2/2/9.81/MAX($F$4:$F$253)*$H47,"")</f>
        <v>6.3421890311175441E-2</v>
      </c>
      <c r="AP47" s="19">
        <f t="shared" si="23"/>
        <v>1.6883950299945139</v>
      </c>
      <c r="AQ47" s="19">
        <f t="shared" si="8"/>
        <v>0</v>
      </c>
      <c r="AR47" s="19">
        <f t="shared" si="24"/>
        <v>24.764964010178801</v>
      </c>
      <c r="AS47" s="23">
        <f t="shared" si="25"/>
        <v>1055.9529640101789</v>
      </c>
    </row>
    <row r="48" spans="5:45">
      <c r="E48" s="35" t="str">
        <f t="shared" si="9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6"/>
        <v>2</v>
      </c>
      <c r="I48" s="19">
        <v>1.9</v>
      </c>
      <c r="J48" s="36">
        <f>'Flow Rate Calculations'!$B$7</f>
        <v>4.0831050228310497</v>
      </c>
      <c r="K48" s="36">
        <f t="shared" si="10"/>
        <v>1.440102709245225</v>
      </c>
      <c r="L48" s="37">
        <f>$I48*$K48/'Calculation Constants'!$B$7</f>
        <v>2421411.6350140949</v>
      </c>
      <c r="M48" s="37">
        <f t="shared" si="11"/>
        <v>82.590000000000146</v>
      </c>
      <c r="N48" s="23">
        <f t="shared" si="12"/>
        <v>47.634586454235887</v>
      </c>
      <c r="O48" s="57">
        <f t="shared" si="0"/>
        <v>82.590000000000146</v>
      </c>
      <c r="P48" s="66">
        <f>MAX(I48*1000/'Calculation Constants'!$B$14,O48*10*I48*1000/2/('Calculation Constants'!$B$12*1000*'Calculation Constants'!$B$13))</f>
        <v>11.875</v>
      </c>
      <c r="Q48" s="68">
        <f t="shared" si="1"/>
        <v>1105894.9783427313</v>
      </c>
      <c r="R48" s="27">
        <f>(1/(2*LOG(3.7*$I48/'Calculation Constants'!$B$2*1000)))^2</f>
        <v>8.6699836115820689E-3</v>
      </c>
      <c r="S48" s="19">
        <f t="shared" si="13"/>
        <v>0.96467850809376621</v>
      </c>
      <c r="T48" s="19">
        <f>IF($H48&gt;0,'Calculation Constants'!$B$9*Hydraulics!$K48^2/2/9.81/MAX($F$4:$F$253)*$H48,"")</f>
        <v>6.3421890311175441E-2</v>
      </c>
      <c r="U48" s="19">
        <f t="shared" si="14"/>
        <v>1.0281003984049417</v>
      </c>
      <c r="V48" s="19">
        <f t="shared" si="2"/>
        <v>0</v>
      </c>
      <c r="W48" s="19">
        <f t="shared" si="3"/>
        <v>47.634586454235887</v>
      </c>
      <c r="X48" s="23">
        <f t="shared" si="15"/>
        <v>1076.7145864542358</v>
      </c>
      <c r="Y48" s="22">
        <f>(1/(2*LOG(3.7*$I48/'Calculation Constants'!$B$3*1000)))^2</f>
        <v>9.7303620360708887E-3</v>
      </c>
      <c r="Z48" s="19">
        <f t="shared" si="4"/>
        <v>1.0826630767363397</v>
      </c>
      <c r="AA48" s="19">
        <f>IF($H48&gt;0,'Calculation Constants'!$B$9*Hydraulics!$K48^2/2/9.81/MAX($F$4:$F$253)*$H48,"")</f>
        <v>6.3421890311175441E-2</v>
      </c>
      <c r="AB48" s="19">
        <f t="shared" si="27"/>
        <v>1.1460849670475151</v>
      </c>
      <c r="AC48" s="19">
        <f t="shared" si="5"/>
        <v>0</v>
      </c>
      <c r="AD48" s="19">
        <f t="shared" si="17"/>
        <v>43.623111120385147</v>
      </c>
      <c r="AE48" s="23">
        <f t="shared" si="18"/>
        <v>1072.7031111203851</v>
      </c>
      <c r="AF48" s="27">
        <f>(1/(2*LOG(3.7*$I48/'Calculation Constants'!$B$4*1000)))^2</f>
        <v>1.1458969193927592E-2</v>
      </c>
      <c r="AG48" s="19">
        <f t="shared" si="6"/>
        <v>1.274999100520025</v>
      </c>
      <c r="AH48" s="19">
        <f>IF($H48&gt;0,'Calculation Constants'!$B$9*Hydraulics!$K48^2/2/9.81/MAX($F$4:$F$253)*$H48,"")</f>
        <v>6.3421890311175441E-2</v>
      </c>
      <c r="AI48" s="19">
        <f t="shared" si="19"/>
        <v>1.3384209908312004</v>
      </c>
      <c r="AJ48" s="19">
        <f t="shared" si="7"/>
        <v>0</v>
      </c>
      <c r="AK48" s="19">
        <f t="shared" si="20"/>
        <v>37.083686311735619</v>
      </c>
      <c r="AL48" s="23">
        <f t="shared" si="21"/>
        <v>1066.1636863117355</v>
      </c>
      <c r="AM48" s="22">
        <f>(1/(2*LOG(3.7*($I48-0.008)/'Calculation Constants'!$B$5*1000)))^2</f>
        <v>1.4542845531075887E-2</v>
      </c>
      <c r="AN48" s="19">
        <f t="shared" si="22"/>
        <v>1.6249731396833385</v>
      </c>
      <c r="AO48" s="19">
        <f>IF($H48&gt;0,'Calculation Constants'!$B$9*Hydraulics!$K48^2/2/9.81/MAX($F$4:$F$253)*$H48,"")</f>
        <v>6.3421890311175441E-2</v>
      </c>
      <c r="AP48" s="19">
        <f t="shared" si="23"/>
        <v>1.6883950299945139</v>
      </c>
      <c r="AQ48" s="19">
        <f t="shared" si="8"/>
        <v>0</v>
      </c>
      <c r="AR48" s="19">
        <f t="shared" si="24"/>
        <v>25.184568980184395</v>
      </c>
      <c r="AS48" s="23">
        <f t="shared" si="25"/>
        <v>1054.2645689801843</v>
      </c>
    </row>
    <row r="49" spans="5:45">
      <c r="E49" s="35" t="str">
        <f t="shared" si="9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6"/>
        <v>2</v>
      </c>
      <c r="I49" s="19">
        <v>1.9</v>
      </c>
      <c r="J49" s="36">
        <f>'Flow Rate Calculations'!$B$7</f>
        <v>4.0831050228310497</v>
      </c>
      <c r="K49" s="36">
        <f t="shared" si="10"/>
        <v>1.440102709245225</v>
      </c>
      <c r="L49" s="37">
        <f>$I49*$K49/'Calculation Constants'!$B$7</f>
        <v>2421411.6350140949</v>
      </c>
      <c r="M49" s="37">
        <f t="shared" si="11"/>
        <v>85.348000000000184</v>
      </c>
      <c r="N49" s="23">
        <f t="shared" si="12"/>
        <v>49.364486055831094</v>
      </c>
      <c r="O49" s="57">
        <f t="shared" si="0"/>
        <v>85.348000000000184</v>
      </c>
      <c r="P49" s="66">
        <f>MAX(I49*1000/'Calculation Constants'!$B$14,O49*10*I49*1000/2/('Calculation Constants'!$B$12*1000*'Calculation Constants'!$B$13))</f>
        <v>11.875</v>
      </c>
      <c r="Q49" s="68">
        <f t="shared" si="1"/>
        <v>1105894.9783427313</v>
      </c>
      <c r="R49" s="27">
        <f>(1/(2*LOG(3.7*$I49/'Calculation Constants'!$B$2*1000)))^2</f>
        <v>8.6699836115820689E-3</v>
      </c>
      <c r="S49" s="19">
        <f t="shared" si="13"/>
        <v>0.96467850809376621</v>
      </c>
      <c r="T49" s="19">
        <f>IF($H49&gt;0,'Calculation Constants'!$B$9*Hydraulics!$K49^2/2/9.81/MAX($F$4:$F$253)*$H49,"")</f>
        <v>6.3421890311175441E-2</v>
      </c>
      <c r="U49" s="19">
        <f t="shared" si="14"/>
        <v>1.0281003984049417</v>
      </c>
      <c r="V49" s="19">
        <f t="shared" si="2"/>
        <v>0</v>
      </c>
      <c r="W49" s="19">
        <f t="shared" si="3"/>
        <v>49.364486055831094</v>
      </c>
      <c r="X49" s="23">
        <f t="shared" si="15"/>
        <v>1075.686486055831</v>
      </c>
      <c r="Y49" s="22">
        <f>(1/(2*LOG(3.7*$I49/'Calculation Constants'!$B$3*1000)))^2</f>
        <v>9.7303620360708887E-3</v>
      </c>
      <c r="Z49" s="19">
        <f t="shared" si="4"/>
        <v>1.0826630767363397</v>
      </c>
      <c r="AA49" s="19">
        <f>IF($H49&gt;0,'Calculation Constants'!$B$9*Hydraulics!$K49^2/2/9.81/MAX($F$4:$F$253)*$H49,"")</f>
        <v>6.3421890311175441E-2</v>
      </c>
      <c r="AB49" s="19">
        <f t="shared" si="27"/>
        <v>1.1460849670475151</v>
      </c>
      <c r="AC49" s="19">
        <f t="shared" si="5"/>
        <v>0</v>
      </c>
      <c r="AD49" s="19">
        <f t="shared" si="17"/>
        <v>45.235026153337685</v>
      </c>
      <c r="AE49" s="23">
        <f t="shared" si="18"/>
        <v>1071.5570261533376</v>
      </c>
      <c r="AF49" s="27">
        <f>(1/(2*LOG(3.7*$I49/'Calculation Constants'!$B$4*1000)))^2</f>
        <v>1.1458969193927592E-2</v>
      </c>
      <c r="AG49" s="19">
        <f t="shared" si="6"/>
        <v>1.274999100520025</v>
      </c>
      <c r="AH49" s="19">
        <f>IF($H49&gt;0,'Calculation Constants'!$B$9*Hydraulics!$K49^2/2/9.81/MAX($F$4:$F$253)*$H49,"")</f>
        <v>6.3421890311175441E-2</v>
      </c>
      <c r="AI49" s="19">
        <f t="shared" si="19"/>
        <v>1.3384209908312004</v>
      </c>
      <c r="AJ49" s="19">
        <f t="shared" si="7"/>
        <v>0</v>
      </c>
      <c r="AK49" s="19">
        <f t="shared" si="20"/>
        <v>38.503265320904347</v>
      </c>
      <c r="AL49" s="23">
        <f t="shared" si="21"/>
        <v>1064.8252653209042</v>
      </c>
      <c r="AM49" s="22">
        <f>(1/(2*LOG(3.7*($I49-0.008)/'Calculation Constants'!$B$5*1000)))^2</f>
        <v>1.4542845531075887E-2</v>
      </c>
      <c r="AN49" s="19">
        <f t="shared" si="22"/>
        <v>1.6249731396833385</v>
      </c>
      <c r="AO49" s="19">
        <f>IF($H49&gt;0,'Calculation Constants'!$B$9*Hydraulics!$K49^2/2/9.81/MAX($F$4:$F$253)*$H49,"")</f>
        <v>6.3421890311175441E-2</v>
      </c>
      <c r="AP49" s="19">
        <f t="shared" si="23"/>
        <v>1.6883950299945139</v>
      </c>
      <c r="AQ49" s="19">
        <f t="shared" si="8"/>
        <v>0</v>
      </c>
      <c r="AR49" s="19">
        <f t="shared" si="24"/>
        <v>26.254173950189852</v>
      </c>
      <c r="AS49" s="23">
        <f t="shared" si="25"/>
        <v>1052.5761739501897</v>
      </c>
    </row>
    <row r="50" spans="5:45">
      <c r="E50" s="35" t="str">
        <f t="shared" si="9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6"/>
        <v>2</v>
      </c>
      <c r="I50" s="19">
        <v>1.9</v>
      </c>
      <c r="J50" s="36">
        <f>'Flow Rate Calculations'!$B$7</f>
        <v>4.0831050228310497</v>
      </c>
      <c r="K50" s="36">
        <f t="shared" si="10"/>
        <v>1.440102709245225</v>
      </c>
      <c r="L50" s="37">
        <f>$I50*$K50/'Calculation Constants'!$B$7</f>
        <v>2421411.6350140949</v>
      </c>
      <c r="M50" s="37">
        <f t="shared" si="11"/>
        <v>88.463000000000079</v>
      </c>
      <c r="N50" s="23">
        <f t="shared" si="12"/>
        <v>51.451385657426158</v>
      </c>
      <c r="O50" s="57">
        <f t="shared" si="0"/>
        <v>88.463000000000079</v>
      </c>
      <c r="P50" s="66">
        <f>MAX(I50*1000/'Calculation Constants'!$B$14,O50*10*I50*1000/2/('Calculation Constants'!$B$12*1000*'Calculation Constants'!$B$13))</f>
        <v>11.875</v>
      </c>
      <c r="Q50" s="68">
        <f t="shared" si="1"/>
        <v>1105894.9783427313</v>
      </c>
      <c r="R50" s="27">
        <f>(1/(2*LOG(3.7*$I50/'Calculation Constants'!$B$2*1000)))^2</f>
        <v>8.6699836115820689E-3</v>
      </c>
      <c r="S50" s="19">
        <f t="shared" si="13"/>
        <v>0.96467850809376621</v>
      </c>
      <c r="T50" s="19">
        <f>IF($H50&gt;0,'Calculation Constants'!$B$9*Hydraulics!$K50^2/2/9.81/MAX($F$4:$F$253)*$H50,"")</f>
        <v>6.3421890311175441E-2</v>
      </c>
      <c r="U50" s="19">
        <f t="shared" si="14"/>
        <v>1.0281003984049417</v>
      </c>
      <c r="V50" s="19">
        <f t="shared" si="2"/>
        <v>0</v>
      </c>
      <c r="W50" s="19">
        <f t="shared" si="3"/>
        <v>51.451385657426158</v>
      </c>
      <c r="X50" s="23">
        <f t="shared" si="15"/>
        <v>1074.6583856574262</v>
      </c>
      <c r="Y50" s="22">
        <f>(1/(2*LOG(3.7*$I50/'Calculation Constants'!$B$3*1000)))^2</f>
        <v>9.7303620360708887E-3</v>
      </c>
      <c r="Z50" s="19">
        <f t="shared" si="4"/>
        <v>1.0826630767363397</v>
      </c>
      <c r="AA50" s="19">
        <f>IF($H50&gt;0,'Calculation Constants'!$B$9*Hydraulics!$K50^2/2/9.81/MAX($F$4:$F$253)*$H50,"")</f>
        <v>6.3421890311175441E-2</v>
      </c>
      <c r="AB50" s="19">
        <f t="shared" si="27"/>
        <v>1.1460849670475151</v>
      </c>
      <c r="AC50" s="19">
        <f t="shared" si="5"/>
        <v>0</v>
      </c>
      <c r="AD50" s="19">
        <f t="shared" si="17"/>
        <v>47.203941186290081</v>
      </c>
      <c r="AE50" s="23">
        <f t="shared" si="18"/>
        <v>1070.4109411862901</v>
      </c>
      <c r="AF50" s="27">
        <f>(1/(2*LOG(3.7*$I50/'Calculation Constants'!$B$4*1000)))^2</f>
        <v>1.1458969193927592E-2</v>
      </c>
      <c r="AG50" s="19">
        <f t="shared" si="6"/>
        <v>1.274999100520025</v>
      </c>
      <c r="AH50" s="19">
        <f>IF($H50&gt;0,'Calculation Constants'!$B$9*Hydraulics!$K50^2/2/9.81/MAX($F$4:$F$253)*$H50,"")</f>
        <v>6.3421890311175441E-2</v>
      </c>
      <c r="AI50" s="19">
        <f t="shared" si="19"/>
        <v>1.3384209908312004</v>
      </c>
      <c r="AJ50" s="19">
        <f t="shared" si="7"/>
        <v>0</v>
      </c>
      <c r="AK50" s="19">
        <f t="shared" si="20"/>
        <v>40.279844330072933</v>
      </c>
      <c r="AL50" s="23">
        <f t="shared" si="21"/>
        <v>1063.4868443300729</v>
      </c>
      <c r="AM50" s="22">
        <f>(1/(2*LOG(3.7*($I50-0.008)/'Calculation Constants'!$B$5*1000)))^2</f>
        <v>1.4542845531075887E-2</v>
      </c>
      <c r="AN50" s="19">
        <f t="shared" si="22"/>
        <v>1.6249731396833385</v>
      </c>
      <c r="AO50" s="19">
        <f>IF($H50&gt;0,'Calculation Constants'!$B$9*Hydraulics!$K50^2/2/9.81/MAX($F$4:$F$253)*$H50,"")</f>
        <v>6.3421890311175441E-2</v>
      </c>
      <c r="AP50" s="19">
        <f t="shared" si="23"/>
        <v>1.6883950299945139</v>
      </c>
      <c r="AQ50" s="19">
        <f t="shared" si="8"/>
        <v>0</v>
      </c>
      <c r="AR50" s="19">
        <f t="shared" si="24"/>
        <v>27.680778920195166</v>
      </c>
      <c r="AS50" s="23">
        <f t="shared" si="25"/>
        <v>1050.8877789201952</v>
      </c>
    </row>
    <row r="51" spans="5:45">
      <c r="E51" s="35" t="str">
        <f t="shared" si="9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6"/>
        <v>2</v>
      </c>
      <c r="I51" s="19">
        <v>1.9</v>
      </c>
      <c r="J51" s="36">
        <f>'Flow Rate Calculations'!$B$7</f>
        <v>4.0831050228310497</v>
      </c>
      <c r="K51" s="36">
        <f t="shared" si="10"/>
        <v>1.440102709245225</v>
      </c>
      <c r="L51" s="37">
        <f>$I51*$K51/'Calculation Constants'!$B$7</f>
        <v>2421411.6350140949</v>
      </c>
      <c r="M51" s="37">
        <f t="shared" si="11"/>
        <v>90.16700000000003</v>
      </c>
      <c r="N51" s="23">
        <f t="shared" si="12"/>
        <v>52.127285259021278</v>
      </c>
      <c r="O51" s="57">
        <f t="shared" si="0"/>
        <v>90.16700000000003</v>
      </c>
      <c r="P51" s="66">
        <f>MAX(I51*1000/'Calculation Constants'!$B$14,O51*10*I51*1000/2/('Calculation Constants'!$B$12*1000*'Calculation Constants'!$B$13))</f>
        <v>11.875</v>
      </c>
      <c r="Q51" s="68">
        <f t="shared" si="1"/>
        <v>1105894.9783427313</v>
      </c>
      <c r="R51" s="27">
        <f>(1/(2*LOG(3.7*$I51/'Calculation Constants'!$B$2*1000)))^2</f>
        <v>8.6699836115820689E-3</v>
      </c>
      <c r="S51" s="19">
        <f t="shared" si="13"/>
        <v>0.96467850809376621</v>
      </c>
      <c r="T51" s="19">
        <f>IF($H51&gt;0,'Calculation Constants'!$B$9*Hydraulics!$K51^2/2/9.81/MAX($F$4:$F$253)*$H51,"")</f>
        <v>6.3421890311175441E-2</v>
      </c>
      <c r="U51" s="19">
        <f t="shared" si="14"/>
        <v>1.0281003984049417</v>
      </c>
      <c r="V51" s="19">
        <f t="shared" si="2"/>
        <v>0</v>
      </c>
      <c r="W51" s="19">
        <f t="shared" si="3"/>
        <v>52.127285259021278</v>
      </c>
      <c r="X51" s="23">
        <f t="shared" si="15"/>
        <v>1073.6302852590213</v>
      </c>
      <c r="Y51" s="22">
        <f>(1/(2*LOG(3.7*$I51/'Calculation Constants'!$B$3*1000)))^2</f>
        <v>9.7303620360708887E-3</v>
      </c>
      <c r="Z51" s="19">
        <f t="shared" si="4"/>
        <v>1.0826630767363397</v>
      </c>
      <c r="AA51" s="19">
        <f>IF($H51&gt;0,'Calculation Constants'!$B$9*Hydraulics!$K51^2/2/9.81/MAX($F$4:$F$253)*$H51,"")</f>
        <v>6.3421890311175441E-2</v>
      </c>
      <c r="AB51" s="19">
        <f t="shared" si="27"/>
        <v>1.1460849670475151</v>
      </c>
      <c r="AC51" s="19">
        <f t="shared" si="5"/>
        <v>0</v>
      </c>
      <c r="AD51" s="19">
        <f t="shared" si="17"/>
        <v>47.761856219242532</v>
      </c>
      <c r="AE51" s="23">
        <f t="shared" si="18"/>
        <v>1069.2648562192426</v>
      </c>
      <c r="AF51" s="27">
        <f>(1/(2*LOG(3.7*$I51/'Calculation Constants'!$B$4*1000)))^2</f>
        <v>1.1458969193927592E-2</v>
      </c>
      <c r="AG51" s="19">
        <f t="shared" si="6"/>
        <v>1.274999100520025</v>
      </c>
      <c r="AH51" s="19">
        <f>IF($H51&gt;0,'Calculation Constants'!$B$9*Hydraulics!$K51^2/2/9.81/MAX($F$4:$F$253)*$H51,"")</f>
        <v>6.3421890311175441E-2</v>
      </c>
      <c r="AI51" s="19">
        <f t="shared" si="19"/>
        <v>1.3384209908312004</v>
      </c>
      <c r="AJ51" s="19">
        <f t="shared" si="7"/>
        <v>0</v>
      </c>
      <c r="AK51" s="19">
        <f t="shared" si="20"/>
        <v>40.645423339241574</v>
      </c>
      <c r="AL51" s="23">
        <f t="shared" si="21"/>
        <v>1062.1484233392416</v>
      </c>
      <c r="AM51" s="22">
        <f>(1/(2*LOG(3.7*($I51-0.008)/'Calculation Constants'!$B$5*1000)))^2</f>
        <v>1.4542845531075887E-2</v>
      </c>
      <c r="AN51" s="19">
        <f t="shared" si="22"/>
        <v>1.6249731396833385</v>
      </c>
      <c r="AO51" s="19">
        <f>IF($H51&gt;0,'Calculation Constants'!$B$9*Hydraulics!$K51^2/2/9.81/MAX($F$4:$F$253)*$H51,"")</f>
        <v>6.3421890311175441E-2</v>
      </c>
      <c r="AP51" s="19">
        <f t="shared" si="23"/>
        <v>1.6883950299945139</v>
      </c>
      <c r="AQ51" s="19">
        <f t="shared" si="8"/>
        <v>0</v>
      </c>
      <c r="AR51" s="19">
        <f t="shared" si="24"/>
        <v>27.696383890200536</v>
      </c>
      <c r="AS51" s="23">
        <f t="shared" si="25"/>
        <v>1049.1993838902006</v>
      </c>
    </row>
    <row r="52" spans="5:45">
      <c r="E52" s="35" t="str">
        <f t="shared" si="9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6"/>
        <v>2</v>
      </c>
      <c r="I52" s="19">
        <v>1.9</v>
      </c>
      <c r="J52" s="36">
        <f>'Flow Rate Calculations'!$B$7</f>
        <v>4.0831050228310497</v>
      </c>
      <c r="K52" s="36">
        <f t="shared" si="10"/>
        <v>1.440102709245225</v>
      </c>
      <c r="L52" s="37">
        <f>$I52*$K52/'Calculation Constants'!$B$7</f>
        <v>2421411.6350140949</v>
      </c>
      <c r="M52" s="37">
        <f t="shared" si="11"/>
        <v>91.905000000000086</v>
      </c>
      <c r="N52" s="23">
        <f t="shared" si="12"/>
        <v>52.837184860616503</v>
      </c>
      <c r="O52" s="57">
        <f t="shared" si="0"/>
        <v>91.905000000000086</v>
      </c>
      <c r="P52" s="66">
        <f>MAX(I52*1000/'Calculation Constants'!$B$14,O52*10*I52*1000/2/('Calculation Constants'!$B$12*1000*'Calculation Constants'!$B$13))</f>
        <v>11.875</v>
      </c>
      <c r="Q52" s="68">
        <f t="shared" si="1"/>
        <v>1105894.9783427313</v>
      </c>
      <c r="R52" s="27">
        <f>(1/(2*LOG(3.7*$I52/'Calculation Constants'!$B$2*1000)))^2</f>
        <v>8.6699836115820689E-3</v>
      </c>
      <c r="S52" s="19">
        <f t="shared" si="13"/>
        <v>0.96467850809376621</v>
      </c>
      <c r="T52" s="19">
        <f>IF($H52&gt;0,'Calculation Constants'!$B$9*Hydraulics!$K52^2/2/9.81/MAX($F$4:$F$253)*$H52,"")</f>
        <v>6.3421890311175441E-2</v>
      </c>
      <c r="U52" s="19">
        <f t="shared" si="14"/>
        <v>1.0281003984049417</v>
      </c>
      <c r="V52" s="19">
        <f t="shared" si="2"/>
        <v>0</v>
      </c>
      <c r="W52" s="19">
        <f t="shared" si="3"/>
        <v>52.837184860616503</v>
      </c>
      <c r="X52" s="23">
        <f t="shared" si="15"/>
        <v>1072.6021848606165</v>
      </c>
      <c r="Y52" s="22">
        <f>(1/(2*LOG(3.7*$I52/'Calculation Constants'!$B$3*1000)))^2</f>
        <v>9.7303620360708887E-3</v>
      </c>
      <c r="Z52" s="19">
        <f t="shared" si="4"/>
        <v>1.0826630767363397</v>
      </c>
      <c r="AA52" s="19">
        <f>IF($H52&gt;0,'Calculation Constants'!$B$9*Hydraulics!$K52^2/2/9.81/MAX($F$4:$F$253)*$H52,"")</f>
        <v>6.3421890311175441E-2</v>
      </c>
      <c r="AB52" s="19">
        <f t="shared" si="27"/>
        <v>1.1460849670475151</v>
      </c>
      <c r="AC52" s="19">
        <f t="shared" si="5"/>
        <v>0</v>
      </c>
      <c r="AD52" s="19">
        <f t="shared" si="17"/>
        <v>48.353771252195088</v>
      </c>
      <c r="AE52" s="23">
        <f t="shared" si="18"/>
        <v>1068.1187712521951</v>
      </c>
      <c r="AF52" s="27">
        <f>(1/(2*LOG(3.7*$I52/'Calculation Constants'!$B$4*1000)))^2</f>
        <v>1.1458969193927592E-2</v>
      </c>
      <c r="AG52" s="19">
        <f t="shared" si="6"/>
        <v>1.274999100520025</v>
      </c>
      <c r="AH52" s="19">
        <f>IF($H52&gt;0,'Calculation Constants'!$B$9*Hydraulics!$K52^2/2/9.81/MAX($F$4:$F$253)*$H52,"")</f>
        <v>6.3421890311175441E-2</v>
      </c>
      <c r="AI52" s="19">
        <f t="shared" si="19"/>
        <v>1.3384209908312004</v>
      </c>
      <c r="AJ52" s="19">
        <f t="shared" si="7"/>
        <v>0</v>
      </c>
      <c r="AK52" s="19">
        <f t="shared" si="20"/>
        <v>41.045002348410321</v>
      </c>
      <c r="AL52" s="23">
        <f t="shared" si="21"/>
        <v>1060.8100023484103</v>
      </c>
      <c r="AM52" s="22">
        <f>(1/(2*LOG(3.7*($I52-0.008)/'Calculation Constants'!$B$5*1000)))^2</f>
        <v>1.4542845531075887E-2</v>
      </c>
      <c r="AN52" s="19">
        <f t="shared" si="22"/>
        <v>1.6249731396833385</v>
      </c>
      <c r="AO52" s="19">
        <f>IF($H52&gt;0,'Calculation Constants'!$B$9*Hydraulics!$K52^2/2/9.81/MAX($F$4:$F$253)*$H52,"")</f>
        <v>6.3421890311175441E-2</v>
      </c>
      <c r="AP52" s="19">
        <f t="shared" si="23"/>
        <v>1.6883950299945139</v>
      </c>
      <c r="AQ52" s="19">
        <f t="shared" si="8"/>
        <v>0</v>
      </c>
      <c r="AR52" s="19">
        <f t="shared" si="24"/>
        <v>27.745988860206012</v>
      </c>
      <c r="AS52" s="23">
        <f t="shared" si="25"/>
        <v>1047.510988860206</v>
      </c>
    </row>
    <row r="53" spans="5:45">
      <c r="E53" s="35" t="str">
        <f t="shared" si="9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6"/>
        <v>2</v>
      </c>
      <c r="I53" s="19">
        <v>1.9</v>
      </c>
      <c r="J53" s="36">
        <f>'Flow Rate Calculations'!$B$7</f>
        <v>4.0831050228310497</v>
      </c>
      <c r="K53" s="36">
        <f t="shared" si="10"/>
        <v>1.440102709245225</v>
      </c>
      <c r="L53" s="37">
        <f>$I53*$K53/'Calculation Constants'!$B$7</f>
        <v>2421411.6350140949</v>
      </c>
      <c r="M53" s="37">
        <f t="shared" si="11"/>
        <v>93.177000000000021</v>
      </c>
      <c r="N53" s="23">
        <f t="shared" si="12"/>
        <v>53.081084462211606</v>
      </c>
      <c r="O53" s="57">
        <f t="shared" si="0"/>
        <v>93.177000000000021</v>
      </c>
      <c r="P53" s="66">
        <f>MAX(I53*1000/'Calculation Constants'!$B$14,O53*10*I53*1000/2/('Calculation Constants'!$B$12*1000*'Calculation Constants'!$B$13))</f>
        <v>11.875</v>
      </c>
      <c r="Q53" s="68">
        <f t="shared" si="1"/>
        <v>1105894.9783427313</v>
      </c>
      <c r="R53" s="27">
        <f>(1/(2*LOG(3.7*$I53/'Calculation Constants'!$B$2*1000)))^2</f>
        <v>8.6699836115820689E-3</v>
      </c>
      <c r="S53" s="19">
        <f t="shared" si="13"/>
        <v>0.96467850809376621</v>
      </c>
      <c r="T53" s="19">
        <f>IF($H53&gt;0,'Calculation Constants'!$B$9*Hydraulics!$K53^2/2/9.81/MAX($F$4:$F$253)*$H53,"")</f>
        <v>6.3421890311175441E-2</v>
      </c>
      <c r="U53" s="19">
        <f t="shared" si="14"/>
        <v>1.0281003984049417</v>
      </c>
      <c r="V53" s="19">
        <f t="shared" si="2"/>
        <v>0</v>
      </c>
      <c r="W53" s="19">
        <f t="shared" si="3"/>
        <v>53.081084462211606</v>
      </c>
      <c r="X53" s="23">
        <f t="shared" si="15"/>
        <v>1071.5740844622117</v>
      </c>
      <c r="Y53" s="22">
        <f>(1/(2*LOG(3.7*$I53/'Calculation Constants'!$B$3*1000)))^2</f>
        <v>9.7303620360708887E-3</v>
      </c>
      <c r="Z53" s="19">
        <f t="shared" si="4"/>
        <v>1.0826630767363397</v>
      </c>
      <c r="AA53" s="19">
        <f>IF($H53&gt;0,'Calculation Constants'!$B$9*Hydraulics!$K53^2/2/9.81/MAX($F$4:$F$253)*$H53,"")</f>
        <v>6.3421890311175441E-2</v>
      </c>
      <c r="AB53" s="19">
        <f t="shared" si="27"/>
        <v>1.1460849670475151</v>
      </c>
      <c r="AC53" s="19">
        <f t="shared" si="5"/>
        <v>0</v>
      </c>
      <c r="AD53" s="19">
        <f t="shared" si="17"/>
        <v>48.479686285147523</v>
      </c>
      <c r="AE53" s="23">
        <f t="shared" si="18"/>
        <v>1066.9726862851476</v>
      </c>
      <c r="AF53" s="27">
        <f>(1/(2*LOG(3.7*$I53/'Calculation Constants'!$B$4*1000)))^2</f>
        <v>1.1458969193927592E-2</v>
      </c>
      <c r="AG53" s="19">
        <f t="shared" si="6"/>
        <v>1.274999100520025</v>
      </c>
      <c r="AH53" s="19">
        <f>IF($H53&gt;0,'Calculation Constants'!$B$9*Hydraulics!$K53^2/2/9.81/MAX($F$4:$F$253)*$H53,"")</f>
        <v>6.3421890311175441E-2</v>
      </c>
      <c r="AI53" s="19">
        <f t="shared" si="19"/>
        <v>1.3384209908312004</v>
      </c>
      <c r="AJ53" s="19">
        <f t="shared" si="7"/>
        <v>0</v>
      </c>
      <c r="AK53" s="19">
        <f t="shared" si="20"/>
        <v>40.978581357578946</v>
      </c>
      <c r="AL53" s="23">
        <f t="shared" si="21"/>
        <v>1059.471581357579</v>
      </c>
      <c r="AM53" s="22">
        <f>(1/(2*LOG(3.7*($I53-0.008)/'Calculation Constants'!$B$5*1000)))^2</f>
        <v>1.4542845531075887E-2</v>
      </c>
      <c r="AN53" s="19">
        <f t="shared" si="22"/>
        <v>1.6249731396833385</v>
      </c>
      <c r="AO53" s="19">
        <f>IF($H53&gt;0,'Calculation Constants'!$B$9*Hydraulics!$K53^2/2/9.81/MAX($F$4:$F$253)*$H53,"")</f>
        <v>6.3421890311175441E-2</v>
      </c>
      <c r="AP53" s="19">
        <f t="shared" si="23"/>
        <v>1.6883950299945139</v>
      </c>
      <c r="AQ53" s="19">
        <f t="shared" si="8"/>
        <v>0</v>
      </c>
      <c r="AR53" s="19">
        <f t="shared" si="24"/>
        <v>27.329593830211365</v>
      </c>
      <c r="AS53" s="23">
        <f t="shared" si="25"/>
        <v>1045.8225938302114</v>
      </c>
    </row>
    <row r="54" spans="5:45">
      <c r="E54" s="35" t="str">
        <f t="shared" si="9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6"/>
        <v>2</v>
      </c>
      <c r="I54" s="19">
        <v>1.9</v>
      </c>
      <c r="J54" s="36">
        <f>'Flow Rate Calculations'!$B$7</f>
        <v>4.0831050228310497</v>
      </c>
      <c r="K54" s="36">
        <f t="shared" si="10"/>
        <v>1.440102709245225</v>
      </c>
      <c r="L54" s="37">
        <f>$I54*$K54/'Calculation Constants'!$B$7</f>
        <v>2421411.6350140949</v>
      </c>
      <c r="M54" s="37">
        <f t="shared" si="11"/>
        <v>95.226000000000113</v>
      </c>
      <c r="N54" s="23">
        <f t="shared" si="12"/>
        <v>54.101984063806867</v>
      </c>
      <c r="O54" s="57">
        <f t="shared" si="0"/>
        <v>95.226000000000113</v>
      </c>
      <c r="P54" s="66">
        <f>MAX(I54*1000/'Calculation Constants'!$B$14,O54*10*I54*1000/2/('Calculation Constants'!$B$12*1000*'Calculation Constants'!$B$13))</f>
        <v>11.875</v>
      </c>
      <c r="Q54" s="68">
        <f t="shared" si="1"/>
        <v>1105894.9783427313</v>
      </c>
      <c r="R54" s="27">
        <f>(1/(2*LOG(3.7*$I54/'Calculation Constants'!$B$2*1000)))^2</f>
        <v>8.6699836115820689E-3</v>
      </c>
      <c r="S54" s="19">
        <f t="shared" si="13"/>
        <v>0.96467850809376621</v>
      </c>
      <c r="T54" s="19">
        <f>IF($H54&gt;0,'Calculation Constants'!$B$9*Hydraulics!$K54^2/2/9.81/MAX($F$4:$F$253)*$H54,"")</f>
        <v>6.3421890311175441E-2</v>
      </c>
      <c r="U54" s="19">
        <f t="shared" si="14"/>
        <v>1.0281003984049417</v>
      </c>
      <c r="V54" s="19">
        <f t="shared" si="2"/>
        <v>0</v>
      </c>
      <c r="W54" s="19">
        <f t="shared" si="3"/>
        <v>54.101984063806867</v>
      </c>
      <c r="X54" s="23">
        <f t="shared" si="15"/>
        <v>1070.5459840638068</v>
      </c>
      <c r="Y54" s="22">
        <f>(1/(2*LOG(3.7*$I54/'Calculation Constants'!$B$3*1000)))^2</f>
        <v>9.7303620360708887E-3</v>
      </c>
      <c r="Z54" s="19">
        <f t="shared" si="4"/>
        <v>1.0826630767363397</v>
      </c>
      <c r="AA54" s="19">
        <f>IF($H54&gt;0,'Calculation Constants'!$B$9*Hydraulics!$K54^2/2/9.81/MAX($F$4:$F$253)*$H54,"")</f>
        <v>6.3421890311175441E-2</v>
      </c>
      <c r="AB54" s="19">
        <f t="shared" si="27"/>
        <v>1.1460849670475151</v>
      </c>
      <c r="AC54" s="19">
        <f t="shared" si="5"/>
        <v>0</v>
      </c>
      <c r="AD54" s="19">
        <f t="shared" si="17"/>
        <v>49.382601318100114</v>
      </c>
      <c r="AE54" s="23">
        <f t="shared" si="18"/>
        <v>1065.8266013181001</v>
      </c>
      <c r="AF54" s="27">
        <f>(1/(2*LOG(3.7*$I54/'Calculation Constants'!$B$4*1000)))^2</f>
        <v>1.1458969193927592E-2</v>
      </c>
      <c r="AG54" s="19">
        <f t="shared" si="6"/>
        <v>1.274999100520025</v>
      </c>
      <c r="AH54" s="19">
        <f>IF($H54&gt;0,'Calculation Constants'!$B$9*Hydraulics!$K54^2/2/9.81/MAX($F$4:$F$253)*$H54,"")</f>
        <v>6.3421890311175441E-2</v>
      </c>
      <c r="AI54" s="19">
        <f t="shared" si="19"/>
        <v>1.3384209908312004</v>
      </c>
      <c r="AJ54" s="19">
        <f t="shared" si="7"/>
        <v>0</v>
      </c>
      <c r="AK54" s="19">
        <f t="shared" si="20"/>
        <v>41.689160366747728</v>
      </c>
      <c r="AL54" s="23">
        <f t="shared" si="21"/>
        <v>1058.1331603667477</v>
      </c>
      <c r="AM54" s="22">
        <f>(1/(2*LOG(3.7*($I54-0.008)/'Calculation Constants'!$B$5*1000)))^2</f>
        <v>1.4542845531075887E-2</v>
      </c>
      <c r="AN54" s="19">
        <f t="shared" si="22"/>
        <v>1.6249731396833385</v>
      </c>
      <c r="AO54" s="19">
        <f>IF($H54&gt;0,'Calculation Constants'!$B$9*Hydraulics!$K54^2/2/9.81/MAX($F$4:$F$253)*$H54,"")</f>
        <v>6.3421890311175441E-2</v>
      </c>
      <c r="AP54" s="19">
        <f t="shared" si="23"/>
        <v>1.6883950299945139</v>
      </c>
      <c r="AQ54" s="19">
        <f t="shared" si="8"/>
        <v>0</v>
      </c>
      <c r="AR54" s="19">
        <f t="shared" si="24"/>
        <v>27.690198800216876</v>
      </c>
      <c r="AS54" s="23">
        <f t="shared" si="25"/>
        <v>1044.1341988002168</v>
      </c>
    </row>
    <row r="55" spans="5:45">
      <c r="E55" s="35" t="str">
        <f t="shared" si="9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6"/>
        <v>2</v>
      </c>
      <c r="I55" s="19">
        <v>1.9</v>
      </c>
      <c r="J55" s="36">
        <f>'Flow Rate Calculations'!$B$7</f>
        <v>4.0831050228310497</v>
      </c>
      <c r="K55" s="36">
        <f t="shared" si="10"/>
        <v>1.440102709245225</v>
      </c>
      <c r="L55" s="37">
        <f>$I55*$K55/'Calculation Constants'!$B$7</f>
        <v>2421411.6350140949</v>
      </c>
      <c r="M55" s="37">
        <f t="shared" si="11"/>
        <v>98.382000000000062</v>
      </c>
      <c r="N55" s="23">
        <f t="shared" si="12"/>
        <v>56.229883665401985</v>
      </c>
      <c r="O55" s="57">
        <f t="shared" si="0"/>
        <v>98.382000000000062</v>
      </c>
      <c r="P55" s="66">
        <f>MAX(I55*1000/'Calculation Constants'!$B$14,O55*10*I55*1000/2/('Calculation Constants'!$B$12*1000*'Calculation Constants'!$B$13))</f>
        <v>11.875</v>
      </c>
      <c r="Q55" s="68">
        <f t="shared" si="1"/>
        <v>1105894.9783427313</v>
      </c>
      <c r="R55" s="27">
        <f>(1/(2*LOG(3.7*$I55/'Calculation Constants'!$B$2*1000)))^2</f>
        <v>8.6699836115820689E-3</v>
      </c>
      <c r="S55" s="19">
        <f t="shared" si="13"/>
        <v>0.96467850809376621</v>
      </c>
      <c r="T55" s="19">
        <f>IF($H55&gt;0,'Calculation Constants'!$B$9*Hydraulics!$K55^2/2/9.81/MAX($F$4:$F$253)*$H55,"")</f>
        <v>6.3421890311175441E-2</v>
      </c>
      <c r="U55" s="19">
        <f t="shared" si="14"/>
        <v>1.0281003984049417</v>
      </c>
      <c r="V55" s="19">
        <f t="shared" si="2"/>
        <v>0</v>
      </c>
      <c r="W55" s="19">
        <f t="shared" si="3"/>
        <v>56.229883665401985</v>
      </c>
      <c r="X55" s="23">
        <f t="shared" si="15"/>
        <v>1069.517883665402</v>
      </c>
      <c r="Y55" s="22">
        <f>(1/(2*LOG(3.7*$I55/'Calculation Constants'!$B$3*1000)))^2</f>
        <v>9.7303620360708887E-3</v>
      </c>
      <c r="Z55" s="19">
        <f t="shared" si="4"/>
        <v>1.0826630767363397</v>
      </c>
      <c r="AA55" s="19">
        <f>IF($H55&gt;0,'Calculation Constants'!$B$9*Hydraulics!$K55^2/2/9.81/MAX($F$4:$F$253)*$H55,"")</f>
        <v>6.3421890311175441E-2</v>
      </c>
      <c r="AB55" s="19">
        <f t="shared" si="27"/>
        <v>1.1460849670475151</v>
      </c>
      <c r="AC55" s="19">
        <f t="shared" si="5"/>
        <v>0</v>
      </c>
      <c r="AD55" s="19">
        <f t="shared" si="17"/>
        <v>51.392516351052564</v>
      </c>
      <c r="AE55" s="23">
        <f t="shared" si="18"/>
        <v>1064.6805163510526</v>
      </c>
      <c r="AF55" s="27">
        <f>(1/(2*LOG(3.7*$I55/'Calculation Constants'!$B$4*1000)))^2</f>
        <v>1.1458969193927592E-2</v>
      </c>
      <c r="AG55" s="19">
        <f t="shared" si="6"/>
        <v>1.274999100520025</v>
      </c>
      <c r="AH55" s="19">
        <f>IF($H55&gt;0,'Calculation Constants'!$B$9*Hydraulics!$K55^2/2/9.81/MAX($F$4:$F$253)*$H55,"")</f>
        <v>6.3421890311175441E-2</v>
      </c>
      <c r="AI55" s="19">
        <f t="shared" si="19"/>
        <v>1.3384209908312004</v>
      </c>
      <c r="AJ55" s="19">
        <f t="shared" si="7"/>
        <v>0</v>
      </c>
      <c r="AK55" s="19">
        <f t="shared" si="20"/>
        <v>43.506739375916368</v>
      </c>
      <c r="AL55" s="23">
        <f t="shared" si="21"/>
        <v>1056.7947393759164</v>
      </c>
      <c r="AM55" s="22">
        <f>(1/(2*LOG(3.7*($I55-0.008)/'Calculation Constants'!$B$5*1000)))^2</f>
        <v>1.4542845531075887E-2</v>
      </c>
      <c r="AN55" s="19">
        <f t="shared" si="22"/>
        <v>1.6249731396833385</v>
      </c>
      <c r="AO55" s="19">
        <f>IF($H55&gt;0,'Calculation Constants'!$B$9*Hydraulics!$K55^2/2/9.81/MAX($F$4:$F$253)*$H55,"")</f>
        <v>6.3421890311175441E-2</v>
      </c>
      <c r="AP55" s="19">
        <f t="shared" si="23"/>
        <v>1.6883950299945139</v>
      </c>
      <c r="AQ55" s="19">
        <f t="shared" si="8"/>
        <v>0</v>
      </c>
      <c r="AR55" s="19">
        <f t="shared" si="24"/>
        <v>29.157803770222245</v>
      </c>
      <c r="AS55" s="23">
        <f t="shared" si="25"/>
        <v>1042.4458037702223</v>
      </c>
    </row>
    <row r="56" spans="5:45">
      <c r="E56" s="35" t="str">
        <f t="shared" si="9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6"/>
        <v>2</v>
      </c>
      <c r="I56" s="19">
        <v>1.9</v>
      </c>
      <c r="J56" s="36">
        <f>'Flow Rate Calculations'!$B$7</f>
        <v>4.0831050228310497</v>
      </c>
      <c r="K56" s="36">
        <f t="shared" si="10"/>
        <v>1.440102709245225</v>
      </c>
      <c r="L56" s="37">
        <f>$I56*$K56/'Calculation Constants'!$B$7</f>
        <v>2421411.6350140949</v>
      </c>
      <c r="M56" s="37">
        <f t="shared" si="11"/>
        <v>103.82700000000011</v>
      </c>
      <c r="N56" s="23">
        <f t="shared" si="12"/>
        <v>60.646783266997204</v>
      </c>
      <c r="O56" s="57">
        <f t="shared" si="0"/>
        <v>103.82700000000011</v>
      </c>
      <c r="P56" s="66">
        <f>MAX(I56*1000/'Calculation Constants'!$B$14,O56*10*I56*1000/2/('Calculation Constants'!$B$12*1000*'Calculation Constants'!$B$13))</f>
        <v>11.875</v>
      </c>
      <c r="Q56" s="68">
        <f t="shared" si="1"/>
        <v>1105894.9783427313</v>
      </c>
      <c r="R56" s="27">
        <f>(1/(2*LOG(3.7*$I56/'Calculation Constants'!$B$2*1000)))^2</f>
        <v>8.6699836115820689E-3</v>
      </c>
      <c r="S56" s="19">
        <f t="shared" si="13"/>
        <v>0.96467850809376621</v>
      </c>
      <c r="T56" s="19">
        <f>IF($H56&gt;0,'Calculation Constants'!$B$9*Hydraulics!$K56^2/2/9.81/MAX($F$4:$F$253)*$H56,"")</f>
        <v>6.3421890311175441E-2</v>
      </c>
      <c r="U56" s="19">
        <f t="shared" si="14"/>
        <v>1.0281003984049417</v>
      </c>
      <c r="V56" s="19">
        <f t="shared" si="2"/>
        <v>0</v>
      </c>
      <c r="W56" s="19">
        <f t="shared" si="3"/>
        <v>60.646783266997204</v>
      </c>
      <c r="X56" s="23">
        <f t="shared" si="15"/>
        <v>1068.4897832669972</v>
      </c>
      <c r="Y56" s="22">
        <f>(1/(2*LOG(3.7*$I56/'Calculation Constants'!$B$3*1000)))^2</f>
        <v>9.7303620360708887E-3</v>
      </c>
      <c r="Z56" s="19">
        <f t="shared" si="4"/>
        <v>1.0826630767363397</v>
      </c>
      <c r="AA56" s="19">
        <f>IF($H56&gt;0,'Calculation Constants'!$B$9*Hydraulics!$K56^2/2/9.81/MAX($F$4:$F$253)*$H56,"")</f>
        <v>6.3421890311175441E-2</v>
      </c>
      <c r="AB56" s="19">
        <f t="shared" si="27"/>
        <v>1.1460849670475151</v>
      </c>
      <c r="AC56" s="19">
        <f t="shared" si="5"/>
        <v>0</v>
      </c>
      <c r="AD56" s="19">
        <f t="shared" si="17"/>
        <v>55.691431384005114</v>
      </c>
      <c r="AE56" s="23">
        <f t="shared" si="18"/>
        <v>1063.5344313840051</v>
      </c>
      <c r="AF56" s="27">
        <f>(1/(2*LOG(3.7*$I56/'Calculation Constants'!$B$4*1000)))^2</f>
        <v>1.1458969193927592E-2</v>
      </c>
      <c r="AG56" s="19">
        <f t="shared" si="6"/>
        <v>1.274999100520025</v>
      </c>
      <c r="AH56" s="19">
        <f>IF($H56&gt;0,'Calculation Constants'!$B$9*Hydraulics!$K56^2/2/9.81/MAX($F$4:$F$253)*$H56,"")</f>
        <v>6.3421890311175441E-2</v>
      </c>
      <c r="AI56" s="19">
        <f t="shared" si="19"/>
        <v>1.3384209908312004</v>
      </c>
      <c r="AJ56" s="19">
        <f t="shared" si="7"/>
        <v>0</v>
      </c>
      <c r="AK56" s="19">
        <f t="shared" si="20"/>
        <v>47.613318385085108</v>
      </c>
      <c r="AL56" s="23">
        <f t="shared" si="21"/>
        <v>1055.4563183850851</v>
      </c>
      <c r="AM56" s="22">
        <f>(1/(2*LOG(3.7*($I56-0.008)/'Calculation Constants'!$B$5*1000)))^2</f>
        <v>1.4542845531075887E-2</v>
      </c>
      <c r="AN56" s="19">
        <f t="shared" si="22"/>
        <v>1.6249731396833385</v>
      </c>
      <c r="AO56" s="19">
        <f>IF($H56&gt;0,'Calculation Constants'!$B$9*Hydraulics!$K56^2/2/9.81/MAX($F$4:$F$253)*$H56,"")</f>
        <v>6.3421890311175441E-2</v>
      </c>
      <c r="AP56" s="19">
        <f t="shared" si="23"/>
        <v>1.6883950299945139</v>
      </c>
      <c r="AQ56" s="19">
        <f t="shared" si="8"/>
        <v>0</v>
      </c>
      <c r="AR56" s="19">
        <f t="shared" si="24"/>
        <v>32.914408740227714</v>
      </c>
      <c r="AS56" s="23">
        <f t="shared" si="25"/>
        <v>1040.7574087402277</v>
      </c>
    </row>
    <row r="57" spans="5:45">
      <c r="E57" s="35" t="str">
        <f t="shared" si="9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6"/>
        <v>2</v>
      </c>
      <c r="I57" s="19">
        <v>1.9</v>
      </c>
      <c r="J57" s="36">
        <f>'Flow Rate Calculations'!$B$7</f>
        <v>4.0831050228310497</v>
      </c>
      <c r="K57" s="36">
        <f t="shared" si="10"/>
        <v>1.440102709245225</v>
      </c>
      <c r="L57" s="37">
        <f>$I57*$K57/'Calculation Constants'!$B$7</f>
        <v>2421411.6350140949</v>
      </c>
      <c r="M57" s="37">
        <f t="shared" si="11"/>
        <v>110.38800000000003</v>
      </c>
      <c r="N57" s="23">
        <f t="shared" si="12"/>
        <v>66.179682868592295</v>
      </c>
      <c r="O57" s="57">
        <f t="shared" si="0"/>
        <v>110.38800000000003</v>
      </c>
      <c r="P57" s="66">
        <f>MAX(I57*1000/'Calculation Constants'!$B$14,O57*10*I57*1000/2/('Calculation Constants'!$B$12*1000*'Calculation Constants'!$B$13))</f>
        <v>11.875</v>
      </c>
      <c r="Q57" s="68">
        <f t="shared" si="1"/>
        <v>1105894.9783427313</v>
      </c>
      <c r="R57" s="27">
        <f>(1/(2*LOG(3.7*$I57/'Calculation Constants'!$B$2*1000)))^2</f>
        <v>8.6699836115820689E-3</v>
      </c>
      <c r="S57" s="19">
        <f t="shared" si="13"/>
        <v>0.96467850809376621</v>
      </c>
      <c r="T57" s="19">
        <f>IF($H57&gt;0,'Calculation Constants'!$B$9*Hydraulics!$K57^2/2/9.81/MAX($F$4:$F$253)*$H57,"")</f>
        <v>6.3421890311175441E-2</v>
      </c>
      <c r="U57" s="19">
        <f t="shared" si="14"/>
        <v>1.0281003984049417</v>
      </c>
      <c r="V57" s="19">
        <f t="shared" si="2"/>
        <v>0</v>
      </c>
      <c r="W57" s="19">
        <f t="shared" si="3"/>
        <v>66.179682868592295</v>
      </c>
      <c r="X57" s="23">
        <f t="shared" si="15"/>
        <v>1067.4616828685923</v>
      </c>
      <c r="Y57" s="22">
        <f>(1/(2*LOG(3.7*$I57/'Calculation Constants'!$B$3*1000)))^2</f>
        <v>9.7303620360708887E-3</v>
      </c>
      <c r="Z57" s="19">
        <f t="shared" si="4"/>
        <v>1.0826630767363397</v>
      </c>
      <c r="AA57" s="19">
        <f>IF($H57&gt;0,'Calculation Constants'!$B$9*Hydraulics!$K57^2/2/9.81/MAX($F$4:$F$253)*$H57,"")</f>
        <v>6.3421890311175441E-2</v>
      </c>
      <c r="AB57" s="19">
        <f t="shared" si="27"/>
        <v>1.1460849670475151</v>
      </c>
      <c r="AC57" s="19">
        <f t="shared" si="5"/>
        <v>0</v>
      </c>
      <c r="AD57" s="19">
        <f t="shared" si="17"/>
        <v>61.106346416957535</v>
      </c>
      <c r="AE57" s="23">
        <f t="shared" si="18"/>
        <v>1062.3883464169576</v>
      </c>
      <c r="AF57" s="27">
        <f>(1/(2*LOG(3.7*$I57/'Calculation Constants'!$B$4*1000)))^2</f>
        <v>1.1458969193927592E-2</v>
      </c>
      <c r="AG57" s="19">
        <f t="shared" si="6"/>
        <v>1.274999100520025</v>
      </c>
      <c r="AH57" s="19">
        <f>IF($H57&gt;0,'Calculation Constants'!$B$9*Hydraulics!$K57^2/2/9.81/MAX($F$4:$F$253)*$H57,"")</f>
        <v>6.3421890311175441E-2</v>
      </c>
      <c r="AI57" s="19">
        <f t="shared" si="19"/>
        <v>1.3384209908312004</v>
      </c>
      <c r="AJ57" s="19">
        <f t="shared" si="7"/>
        <v>0</v>
      </c>
      <c r="AK57" s="19">
        <f t="shared" si="20"/>
        <v>52.83589739425372</v>
      </c>
      <c r="AL57" s="23">
        <f t="shared" si="21"/>
        <v>1054.1178973942538</v>
      </c>
      <c r="AM57" s="22">
        <f>(1/(2*LOG(3.7*($I57-0.008)/'Calculation Constants'!$B$5*1000)))^2</f>
        <v>1.4542845531075887E-2</v>
      </c>
      <c r="AN57" s="19">
        <f t="shared" si="22"/>
        <v>1.6249731396833385</v>
      </c>
      <c r="AO57" s="19">
        <f>IF($H57&gt;0,'Calculation Constants'!$B$9*Hydraulics!$K57^2/2/9.81/MAX($F$4:$F$253)*$H57,"")</f>
        <v>6.3421890311175441E-2</v>
      </c>
      <c r="AP57" s="19">
        <f t="shared" si="23"/>
        <v>1.6883950299945139</v>
      </c>
      <c r="AQ57" s="19">
        <f t="shared" si="8"/>
        <v>0</v>
      </c>
      <c r="AR57" s="19">
        <f t="shared" si="24"/>
        <v>37.787013710233055</v>
      </c>
      <c r="AS57" s="23">
        <f t="shared" si="25"/>
        <v>1039.0690137102331</v>
      </c>
    </row>
    <row r="58" spans="5:45">
      <c r="E58" s="35" t="str">
        <f t="shared" si="9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6"/>
        <v>2</v>
      </c>
      <c r="I58" s="19">
        <v>1.9</v>
      </c>
      <c r="J58" s="36">
        <f>'Flow Rate Calculations'!$B$7</f>
        <v>4.0831050228310497</v>
      </c>
      <c r="K58" s="36">
        <f t="shared" si="10"/>
        <v>1.440102709245225</v>
      </c>
      <c r="L58" s="37">
        <f>$I58*$K58/'Calculation Constants'!$B$7</f>
        <v>2421411.6350140949</v>
      </c>
      <c r="M58" s="37">
        <f t="shared" si="11"/>
        <v>115.06100000000004</v>
      </c>
      <c r="N58" s="23">
        <f t="shared" si="12"/>
        <v>69.824582470187465</v>
      </c>
      <c r="O58" s="57">
        <f t="shared" si="0"/>
        <v>115.06100000000004</v>
      </c>
      <c r="P58" s="66">
        <f>MAX(I58*1000/'Calculation Constants'!$B$14,O58*10*I58*1000/2/('Calculation Constants'!$B$12*1000*'Calculation Constants'!$B$13))</f>
        <v>11.875</v>
      </c>
      <c r="Q58" s="68">
        <f t="shared" si="1"/>
        <v>1105894.9783427313</v>
      </c>
      <c r="R58" s="27">
        <f>(1/(2*LOG(3.7*$I58/'Calculation Constants'!$B$2*1000)))^2</f>
        <v>8.6699836115820689E-3</v>
      </c>
      <c r="S58" s="19">
        <f t="shared" si="13"/>
        <v>0.96467850809376621</v>
      </c>
      <c r="T58" s="19">
        <f>IF($H58&gt;0,'Calculation Constants'!$B$9*Hydraulics!$K58^2/2/9.81/MAX($F$4:$F$253)*$H58,"")</f>
        <v>6.3421890311175441E-2</v>
      </c>
      <c r="U58" s="19">
        <f t="shared" si="14"/>
        <v>1.0281003984049417</v>
      </c>
      <c r="V58" s="19">
        <f t="shared" si="2"/>
        <v>0</v>
      </c>
      <c r="W58" s="19">
        <f t="shared" si="3"/>
        <v>69.824582470187465</v>
      </c>
      <c r="X58" s="23">
        <f t="shared" si="15"/>
        <v>1066.4335824701875</v>
      </c>
      <c r="Y58" s="22">
        <f>(1/(2*LOG(3.7*$I58/'Calculation Constants'!$B$3*1000)))^2</f>
        <v>9.7303620360708887E-3</v>
      </c>
      <c r="Z58" s="19">
        <f t="shared" si="4"/>
        <v>1.0826630767363397</v>
      </c>
      <c r="AA58" s="19">
        <f>IF($H58&gt;0,'Calculation Constants'!$B$9*Hydraulics!$K58^2/2/9.81/MAX($F$4:$F$253)*$H58,"")</f>
        <v>6.3421890311175441E-2</v>
      </c>
      <c r="AB58" s="19">
        <f t="shared" si="27"/>
        <v>1.1460849670475151</v>
      </c>
      <c r="AC58" s="19">
        <f t="shared" si="5"/>
        <v>0</v>
      </c>
      <c r="AD58" s="19">
        <f t="shared" si="17"/>
        <v>64.633261449910037</v>
      </c>
      <c r="AE58" s="23">
        <f t="shared" si="18"/>
        <v>1061.2422614499101</v>
      </c>
      <c r="AF58" s="27">
        <f>(1/(2*LOG(3.7*$I58/'Calculation Constants'!$B$4*1000)))^2</f>
        <v>1.1458969193927592E-2</v>
      </c>
      <c r="AG58" s="19">
        <f t="shared" si="6"/>
        <v>1.274999100520025</v>
      </c>
      <c r="AH58" s="19">
        <f>IF($H58&gt;0,'Calculation Constants'!$B$9*Hydraulics!$K58^2/2/9.81/MAX($F$4:$F$253)*$H58,"")</f>
        <v>6.3421890311175441E-2</v>
      </c>
      <c r="AI58" s="19">
        <f t="shared" si="19"/>
        <v>1.3384209908312004</v>
      </c>
      <c r="AJ58" s="19">
        <f t="shared" si="7"/>
        <v>0</v>
      </c>
      <c r="AK58" s="19">
        <f t="shared" si="20"/>
        <v>56.170476403422413</v>
      </c>
      <c r="AL58" s="23">
        <f t="shared" si="21"/>
        <v>1052.7794764034224</v>
      </c>
      <c r="AM58" s="22">
        <f>(1/(2*LOG(3.7*($I58-0.008)/'Calculation Constants'!$B$5*1000)))^2</f>
        <v>1.4542845531075887E-2</v>
      </c>
      <c r="AN58" s="19">
        <f t="shared" si="22"/>
        <v>1.6249731396833385</v>
      </c>
      <c r="AO58" s="19">
        <f>IF($H58&gt;0,'Calculation Constants'!$B$9*Hydraulics!$K58^2/2/9.81/MAX($F$4:$F$253)*$H58,"")</f>
        <v>6.3421890311175441E-2</v>
      </c>
      <c r="AP58" s="19">
        <f t="shared" si="23"/>
        <v>1.6883950299945139</v>
      </c>
      <c r="AQ58" s="19">
        <f t="shared" si="8"/>
        <v>0</v>
      </c>
      <c r="AR58" s="19">
        <f t="shared" si="24"/>
        <v>40.771618680238475</v>
      </c>
      <c r="AS58" s="23">
        <f t="shared" si="25"/>
        <v>1037.3806186802385</v>
      </c>
    </row>
    <row r="59" spans="5:45">
      <c r="E59" s="35" t="str">
        <f t="shared" si="9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6"/>
        <v>2</v>
      </c>
      <c r="I59" s="19">
        <v>1.9</v>
      </c>
      <c r="J59" s="36">
        <f>'Flow Rate Calculations'!$B$7</f>
        <v>4.0831050228310497</v>
      </c>
      <c r="K59" s="36">
        <f t="shared" si="10"/>
        <v>1.440102709245225</v>
      </c>
      <c r="L59" s="37">
        <f>$I59*$K59/'Calculation Constants'!$B$7</f>
        <v>2421411.6350140949</v>
      </c>
      <c r="M59" s="37">
        <f t="shared" si="11"/>
        <v>118.67100000000005</v>
      </c>
      <c r="N59" s="23">
        <f t="shared" si="12"/>
        <v>72.406482071782648</v>
      </c>
      <c r="O59" s="57">
        <f t="shared" si="0"/>
        <v>118.67100000000005</v>
      </c>
      <c r="P59" s="66">
        <f>MAX(I59*1000/'Calculation Constants'!$B$14,O59*10*I59*1000/2/('Calculation Constants'!$B$12*1000*'Calculation Constants'!$B$13))</f>
        <v>11.875</v>
      </c>
      <c r="Q59" s="68">
        <f t="shared" si="1"/>
        <v>1105894.9783427313</v>
      </c>
      <c r="R59" s="27">
        <f>(1/(2*LOG(3.7*$I59/'Calculation Constants'!$B$2*1000)))^2</f>
        <v>8.6699836115820689E-3</v>
      </c>
      <c r="S59" s="19">
        <f t="shared" si="13"/>
        <v>0.96467850809376621</v>
      </c>
      <c r="T59" s="19">
        <f>IF($H59&gt;0,'Calculation Constants'!$B$9*Hydraulics!$K59^2/2/9.81/MAX($F$4:$F$253)*$H59,"")</f>
        <v>6.3421890311175441E-2</v>
      </c>
      <c r="U59" s="19">
        <f t="shared" si="14"/>
        <v>1.0281003984049417</v>
      </c>
      <c r="V59" s="19">
        <f t="shared" si="2"/>
        <v>0</v>
      </c>
      <c r="W59" s="19">
        <f t="shared" si="3"/>
        <v>72.406482071782648</v>
      </c>
      <c r="X59" s="23">
        <f t="shared" si="15"/>
        <v>1065.4054820717827</v>
      </c>
      <c r="Y59" s="22">
        <f>(1/(2*LOG(3.7*$I59/'Calculation Constants'!$B$3*1000)))^2</f>
        <v>9.7303620360708887E-3</v>
      </c>
      <c r="Z59" s="19">
        <f t="shared" si="4"/>
        <v>1.0826630767363397</v>
      </c>
      <c r="AA59" s="19">
        <f>IF($H59&gt;0,'Calculation Constants'!$B$9*Hydraulics!$K59^2/2/9.81/MAX($F$4:$F$253)*$H59,"")</f>
        <v>6.3421890311175441E-2</v>
      </c>
      <c r="AB59" s="19">
        <f t="shared" si="27"/>
        <v>1.1460849670475151</v>
      </c>
      <c r="AC59" s="19">
        <f t="shared" si="5"/>
        <v>0</v>
      </c>
      <c r="AD59" s="19">
        <f t="shared" si="17"/>
        <v>67.097176482862551</v>
      </c>
      <c r="AE59" s="23">
        <f t="shared" si="18"/>
        <v>1060.0961764828626</v>
      </c>
      <c r="AF59" s="27">
        <f>(1/(2*LOG(3.7*$I59/'Calculation Constants'!$B$4*1000)))^2</f>
        <v>1.1458969193927592E-2</v>
      </c>
      <c r="AG59" s="19">
        <f t="shared" si="6"/>
        <v>1.274999100520025</v>
      </c>
      <c r="AH59" s="19">
        <f>IF($H59&gt;0,'Calculation Constants'!$B$9*Hydraulics!$K59^2/2/9.81/MAX($F$4:$F$253)*$H59,"")</f>
        <v>6.3421890311175441E-2</v>
      </c>
      <c r="AI59" s="19">
        <f t="shared" si="19"/>
        <v>1.3384209908312004</v>
      </c>
      <c r="AJ59" s="19">
        <f t="shared" si="7"/>
        <v>0</v>
      </c>
      <c r="AK59" s="19">
        <f t="shared" si="20"/>
        <v>58.442055412591117</v>
      </c>
      <c r="AL59" s="23">
        <f t="shared" si="21"/>
        <v>1051.4410554125911</v>
      </c>
      <c r="AM59" s="22">
        <f>(1/(2*LOG(3.7*($I59-0.008)/'Calculation Constants'!$B$5*1000)))^2</f>
        <v>1.4542845531075887E-2</v>
      </c>
      <c r="AN59" s="19">
        <f t="shared" si="22"/>
        <v>1.6249731396833385</v>
      </c>
      <c r="AO59" s="19">
        <f>IF($H59&gt;0,'Calculation Constants'!$B$9*Hydraulics!$K59^2/2/9.81/MAX($F$4:$F$253)*$H59,"")</f>
        <v>6.3421890311175441E-2</v>
      </c>
      <c r="AP59" s="19">
        <f t="shared" si="23"/>
        <v>1.6883950299945139</v>
      </c>
      <c r="AQ59" s="19">
        <f t="shared" si="8"/>
        <v>0</v>
      </c>
      <c r="AR59" s="19">
        <f t="shared" si="24"/>
        <v>42.693223650243908</v>
      </c>
      <c r="AS59" s="23">
        <f t="shared" si="25"/>
        <v>1035.6922236502439</v>
      </c>
    </row>
    <row r="60" spans="5:45">
      <c r="E60" s="35" t="str">
        <f t="shared" si="9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6"/>
        <v>2</v>
      </c>
      <c r="I60" s="19">
        <v>1.9</v>
      </c>
      <c r="J60" s="36">
        <f>'Flow Rate Calculations'!$B$7</f>
        <v>4.0831050228310497</v>
      </c>
      <c r="K60" s="36">
        <f t="shared" si="10"/>
        <v>1.440102709245225</v>
      </c>
      <c r="L60" s="37">
        <f>$I60*$K60/'Calculation Constants'!$B$7</f>
        <v>2421411.6350140949</v>
      </c>
      <c r="M60" s="37">
        <f t="shared" si="11"/>
        <v>118.03100000000006</v>
      </c>
      <c r="N60" s="23">
        <f t="shared" si="12"/>
        <v>70.73838167337783</v>
      </c>
      <c r="O60" s="57">
        <f t="shared" si="0"/>
        <v>118.03100000000006</v>
      </c>
      <c r="P60" s="66">
        <f>MAX(I60*1000/'Calculation Constants'!$B$14,O60*10*I60*1000/2/('Calculation Constants'!$B$12*1000*'Calculation Constants'!$B$13))</f>
        <v>11.875</v>
      </c>
      <c r="Q60" s="68">
        <f t="shared" si="1"/>
        <v>1105894.9783427313</v>
      </c>
      <c r="R60" s="27">
        <f>(1/(2*LOG(3.7*$I60/'Calculation Constants'!$B$2*1000)))^2</f>
        <v>8.6699836115820689E-3</v>
      </c>
      <c r="S60" s="19">
        <f t="shared" si="13"/>
        <v>0.96467850809376621</v>
      </c>
      <c r="T60" s="19">
        <f>IF($H60&gt;0,'Calculation Constants'!$B$9*Hydraulics!$K60^2/2/9.81/MAX($F$4:$F$253)*$H60,"")</f>
        <v>6.3421890311175441E-2</v>
      </c>
      <c r="U60" s="19">
        <f t="shared" si="14"/>
        <v>1.0281003984049417</v>
      </c>
      <c r="V60" s="19">
        <f t="shared" si="2"/>
        <v>0</v>
      </c>
      <c r="W60" s="19">
        <f t="shared" si="3"/>
        <v>70.73838167337783</v>
      </c>
      <c r="X60" s="23">
        <f t="shared" si="15"/>
        <v>1064.3773816733778</v>
      </c>
      <c r="Y60" s="22">
        <f>(1/(2*LOG(3.7*$I60/'Calculation Constants'!$B$3*1000)))^2</f>
        <v>9.7303620360708887E-3</v>
      </c>
      <c r="Z60" s="19">
        <f t="shared" si="4"/>
        <v>1.0826630767363397</v>
      </c>
      <c r="AA60" s="19">
        <f>IF($H60&gt;0,'Calculation Constants'!$B$9*Hydraulics!$K60^2/2/9.81/MAX($F$4:$F$253)*$H60,"")</f>
        <v>6.3421890311175441E-2</v>
      </c>
      <c r="AB60" s="19">
        <f t="shared" si="27"/>
        <v>1.1460849670475151</v>
      </c>
      <c r="AC60" s="19">
        <f t="shared" si="5"/>
        <v>0</v>
      </c>
      <c r="AD60" s="19">
        <f t="shared" si="17"/>
        <v>65.311091515815065</v>
      </c>
      <c r="AE60" s="23">
        <f t="shared" si="18"/>
        <v>1058.9500915158151</v>
      </c>
      <c r="AF60" s="27">
        <f>(1/(2*LOG(3.7*$I60/'Calculation Constants'!$B$4*1000)))^2</f>
        <v>1.1458969193927592E-2</v>
      </c>
      <c r="AG60" s="19">
        <f t="shared" si="6"/>
        <v>1.274999100520025</v>
      </c>
      <c r="AH60" s="19">
        <f>IF($H60&gt;0,'Calculation Constants'!$B$9*Hydraulics!$K60^2/2/9.81/MAX($F$4:$F$253)*$H60,"")</f>
        <v>6.3421890311175441E-2</v>
      </c>
      <c r="AI60" s="19">
        <f t="shared" si="19"/>
        <v>1.3384209908312004</v>
      </c>
      <c r="AJ60" s="19">
        <f t="shared" si="7"/>
        <v>0</v>
      </c>
      <c r="AK60" s="19">
        <f t="shared" si="20"/>
        <v>56.463634421759821</v>
      </c>
      <c r="AL60" s="23">
        <f t="shared" si="21"/>
        <v>1050.1026344217598</v>
      </c>
      <c r="AM60" s="22">
        <f>(1/(2*LOG(3.7*($I60-0.008)/'Calculation Constants'!$B$5*1000)))^2</f>
        <v>1.4542845531075887E-2</v>
      </c>
      <c r="AN60" s="19">
        <f t="shared" si="22"/>
        <v>1.6249731396833385</v>
      </c>
      <c r="AO60" s="19">
        <f>IF($H60&gt;0,'Calculation Constants'!$B$9*Hydraulics!$K60^2/2/9.81/MAX($F$4:$F$253)*$H60,"")</f>
        <v>6.3421890311175441E-2</v>
      </c>
      <c r="AP60" s="19">
        <f t="shared" si="23"/>
        <v>1.6883950299945139</v>
      </c>
      <c r="AQ60" s="19">
        <f t="shared" si="8"/>
        <v>0</v>
      </c>
      <c r="AR60" s="19">
        <f t="shared" si="24"/>
        <v>40.364828620249341</v>
      </c>
      <c r="AS60" s="23">
        <f t="shared" si="25"/>
        <v>1034.0038286202494</v>
      </c>
    </row>
    <row r="61" spans="5:45">
      <c r="E61" s="35" t="str">
        <f t="shared" si="9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6"/>
        <v>2</v>
      </c>
      <c r="I61" s="19">
        <v>1.9</v>
      </c>
      <c r="J61" s="36">
        <f>'Flow Rate Calculations'!$B$7</f>
        <v>4.0831050228310497</v>
      </c>
      <c r="K61" s="36">
        <f t="shared" si="10"/>
        <v>1.440102709245225</v>
      </c>
      <c r="L61" s="37">
        <f>$I61*$K61/'Calculation Constants'!$B$7</f>
        <v>2421411.6350140949</v>
      </c>
      <c r="M61" s="37">
        <f t="shared" si="11"/>
        <v>117.05900000000008</v>
      </c>
      <c r="N61" s="23">
        <f t="shared" si="12"/>
        <v>68.738281274973019</v>
      </c>
      <c r="O61" s="57">
        <f t="shared" si="0"/>
        <v>117.05900000000008</v>
      </c>
      <c r="P61" s="66">
        <f>MAX(I61*1000/'Calculation Constants'!$B$14,O61*10*I61*1000/2/('Calculation Constants'!$B$12*1000*'Calculation Constants'!$B$13))</f>
        <v>11.875</v>
      </c>
      <c r="Q61" s="68">
        <f t="shared" si="1"/>
        <v>1105894.9783427313</v>
      </c>
      <c r="R61" s="27">
        <f>(1/(2*LOG(3.7*$I61/'Calculation Constants'!$B$2*1000)))^2</f>
        <v>8.6699836115820689E-3</v>
      </c>
      <c r="S61" s="19">
        <f t="shared" si="13"/>
        <v>0.96467850809376621</v>
      </c>
      <c r="T61" s="19">
        <f>IF($H61&gt;0,'Calculation Constants'!$B$9*Hydraulics!$K61^2/2/9.81/MAX($F$4:$F$253)*$H61,"")</f>
        <v>6.3421890311175441E-2</v>
      </c>
      <c r="U61" s="19">
        <f t="shared" si="14"/>
        <v>1.0281003984049417</v>
      </c>
      <c r="V61" s="19">
        <f t="shared" si="2"/>
        <v>0</v>
      </c>
      <c r="W61" s="19">
        <f t="shared" si="3"/>
        <v>68.738281274973019</v>
      </c>
      <c r="X61" s="23">
        <f t="shared" si="15"/>
        <v>1063.349281274973</v>
      </c>
      <c r="Y61" s="22">
        <f>(1/(2*LOG(3.7*$I61/'Calculation Constants'!$B$3*1000)))^2</f>
        <v>9.7303620360708887E-3</v>
      </c>
      <c r="Z61" s="19">
        <f t="shared" si="4"/>
        <v>1.0826630767363397</v>
      </c>
      <c r="AA61" s="19">
        <f>IF($H61&gt;0,'Calculation Constants'!$B$9*Hydraulics!$K61^2/2/9.81/MAX($F$4:$F$253)*$H61,"")</f>
        <v>6.3421890311175441E-2</v>
      </c>
      <c r="AB61" s="19">
        <f t="shared" si="27"/>
        <v>1.1460849670475151</v>
      </c>
      <c r="AC61" s="19">
        <f t="shared" si="5"/>
        <v>0</v>
      </c>
      <c r="AD61" s="19">
        <f t="shared" si="17"/>
        <v>63.193006548767585</v>
      </c>
      <c r="AE61" s="23">
        <f t="shared" si="18"/>
        <v>1057.8040065487676</v>
      </c>
      <c r="AF61" s="27">
        <f>(1/(2*LOG(3.7*$I61/'Calculation Constants'!$B$4*1000)))^2</f>
        <v>1.1458969193927592E-2</v>
      </c>
      <c r="AG61" s="19">
        <f t="shared" si="6"/>
        <v>1.274999100520025</v>
      </c>
      <c r="AH61" s="19">
        <f>IF($H61&gt;0,'Calculation Constants'!$B$9*Hydraulics!$K61^2/2/9.81/MAX($F$4:$F$253)*$H61,"")</f>
        <v>6.3421890311175441E-2</v>
      </c>
      <c r="AI61" s="19">
        <f t="shared" si="19"/>
        <v>1.3384209908312004</v>
      </c>
      <c r="AJ61" s="19">
        <f t="shared" si="7"/>
        <v>0</v>
      </c>
      <c r="AK61" s="19">
        <f t="shared" si="20"/>
        <v>54.153213430928531</v>
      </c>
      <c r="AL61" s="23">
        <f t="shared" si="21"/>
        <v>1048.7642134309285</v>
      </c>
      <c r="AM61" s="22">
        <f>(1/(2*LOG(3.7*($I61-0.008)/'Calculation Constants'!$B$5*1000)))^2</f>
        <v>1.4542845531075887E-2</v>
      </c>
      <c r="AN61" s="19">
        <f t="shared" si="22"/>
        <v>1.6249731396833385</v>
      </c>
      <c r="AO61" s="19">
        <f>IF($H61&gt;0,'Calculation Constants'!$B$9*Hydraulics!$K61^2/2/9.81/MAX($F$4:$F$253)*$H61,"")</f>
        <v>6.3421890311175441E-2</v>
      </c>
      <c r="AP61" s="19">
        <f t="shared" si="23"/>
        <v>1.6883950299945139</v>
      </c>
      <c r="AQ61" s="19">
        <f t="shared" si="8"/>
        <v>0</v>
      </c>
      <c r="AR61" s="19">
        <f t="shared" si="24"/>
        <v>37.70443359025478</v>
      </c>
      <c r="AS61" s="23">
        <f t="shared" si="25"/>
        <v>1032.3154335902548</v>
      </c>
    </row>
    <row r="62" spans="5:45">
      <c r="E62" s="35" t="str">
        <f t="shared" si="9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6"/>
        <v>2</v>
      </c>
      <c r="I62" s="19">
        <v>1.9</v>
      </c>
      <c r="J62" s="36">
        <f>'Flow Rate Calculations'!$B$7</f>
        <v>4.0831050228310497</v>
      </c>
      <c r="K62" s="36">
        <f t="shared" si="10"/>
        <v>1.440102709245225</v>
      </c>
      <c r="L62" s="37">
        <f>$I62*$K62/'Calculation Constants'!$B$7</f>
        <v>2421411.6350140949</v>
      </c>
      <c r="M62" s="37">
        <f t="shared" si="11"/>
        <v>115.9190000000001</v>
      </c>
      <c r="N62" s="23">
        <f t="shared" si="12"/>
        <v>66.570180876568202</v>
      </c>
      <c r="O62" s="57">
        <f t="shared" si="0"/>
        <v>115.9190000000001</v>
      </c>
      <c r="P62" s="66">
        <f>MAX(I62*1000/'Calculation Constants'!$B$14,O62*10*I62*1000/2/('Calculation Constants'!$B$12*1000*'Calculation Constants'!$B$13))</f>
        <v>11.875</v>
      </c>
      <c r="Q62" s="68">
        <f t="shared" si="1"/>
        <v>1105894.9783427313</v>
      </c>
      <c r="R62" s="27">
        <f>(1/(2*LOG(3.7*$I62/'Calculation Constants'!$B$2*1000)))^2</f>
        <v>8.6699836115820689E-3</v>
      </c>
      <c r="S62" s="19">
        <f t="shared" si="13"/>
        <v>0.96467850809376621</v>
      </c>
      <c r="T62" s="19">
        <f>IF($H62&gt;0,'Calculation Constants'!$B$9*Hydraulics!$K62^2/2/9.81/MAX($F$4:$F$253)*$H62,"")</f>
        <v>6.3421890311175441E-2</v>
      </c>
      <c r="U62" s="19">
        <f t="shared" si="14"/>
        <v>1.0281003984049417</v>
      </c>
      <c r="V62" s="19">
        <f t="shared" si="2"/>
        <v>0</v>
      </c>
      <c r="W62" s="19">
        <f t="shared" si="3"/>
        <v>66.570180876568202</v>
      </c>
      <c r="X62" s="23">
        <f t="shared" si="15"/>
        <v>1062.3211808765682</v>
      </c>
      <c r="Y62" s="22">
        <f>(1/(2*LOG(3.7*$I62/'Calculation Constants'!$B$3*1000)))^2</f>
        <v>9.7303620360708887E-3</v>
      </c>
      <c r="Z62" s="19">
        <f t="shared" si="4"/>
        <v>1.0826630767363397</v>
      </c>
      <c r="AA62" s="19">
        <f>IF($H62&gt;0,'Calculation Constants'!$B$9*Hydraulics!$K62^2/2/9.81/MAX($F$4:$F$253)*$H62,"")</f>
        <v>6.3421890311175441E-2</v>
      </c>
      <c r="AB62" s="19">
        <f t="shared" si="27"/>
        <v>1.1460849670475151</v>
      </c>
      <c r="AC62" s="19">
        <f t="shared" si="5"/>
        <v>0</v>
      </c>
      <c r="AD62" s="19">
        <f t="shared" si="17"/>
        <v>60.906921581720098</v>
      </c>
      <c r="AE62" s="23">
        <f t="shared" si="18"/>
        <v>1056.6579215817201</v>
      </c>
      <c r="AF62" s="27">
        <f>(1/(2*LOG(3.7*$I62/'Calculation Constants'!$B$4*1000)))^2</f>
        <v>1.1458969193927592E-2</v>
      </c>
      <c r="AG62" s="19">
        <f t="shared" si="6"/>
        <v>1.274999100520025</v>
      </c>
      <c r="AH62" s="19">
        <f>IF($H62&gt;0,'Calculation Constants'!$B$9*Hydraulics!$K62^2/2/9.81/MAX($F$4:$F$253)*$H62,"")</f>
        <v>6.3421890311175441E-2</v>
      </c>
      <c r="AI62" s="19">
        <f t="shared" si="19"/>
        <v>1.3384209908312004</v>
      </c>
      <c r="AJ62" s="19">
        <f t="shared" si="7"/>
        <v>0</v>
      </c>
      <c r="AK62" s="19">
        <f t="shared" si="20"/>
        <v>51.674792440097235</v>
      </c>
      <c r="AL62" s="23">
        <f t="shared" si="21"/>
        <v>1047.4257924400972</v>
      </c>
      <c r="AM62" s="22">
        <f>(1/(2*LOG(3.7*($I62-0.008)/'Calculation Constants'!$B$5*1000)))^2</f>
        <v>1.4542845531075887E-2</v>
      </c>
      <c r="AN62" s="19">
        <f t="shared" si="22"/>
        <v>1.6249731396833385</v>
      </c>
      <c r="AO62" s="19">
        <f>IF($H62&gt;0,'Calculation Constants'!$B$9*Hydraulics!$K62^2/2/9.81/MAX($F$4:$F$253)*$H62,"")</f>
        <v>6.3421890311175441E-2</v>
      </c>
      <c r="AP62" s="19">
        <f t="shared" si="23"/>
        <v>1.6883950299945139</v>
      </c>
      <c r="AQ62" s="19">
        <f t="shared" si="8"/>
        <v>0</v>
      </c>
      <c r="AR62" s="19">
        <f t="shared" si="24"/>
        <v>34.876038560260213</v>
      </c>
      <c r="AS62" s="23">
        <f t="shared" si="25"/>
        <v>1030.6270385602602</v>
      </c>
    </row>
    <row r="63" spans="5:45">
      <c r="E63" s="35" t="str">
        <f t="shared" si="9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6"/>
        <v>2</v>
      </c>
      <c r="I63" s="19">
        <v>1.9</v>
      </c>
      <c r="J63" s="36">
        <f>'Flow Rate Calculations'!$B$7</f>
        <v>4.0831050228310497</v>
      </c>
      <c r="K63" s="36">
        <f t="shared" si="10"/>
        <v>1.440102709245225</v>
      </c>
      <c r="L63" s="37">
        <f>$I63*$K63/'Calculation Constants'!$B$7</f>
        <v>2421411.6350140949</v>
      </c>
      <c r="M63" s="37">
        <f t="shared" si="11"/>
        <v>115.19100000000003</v>
      </c>
      <c r="N63" s="23">
        <f t="shared" si="12"/>
        <v>64.814080478163305</v>
      </c>
      <c r="O63" s="57">
        <f t="shared" si="0"/>
        <v>115.19100000000003</v>
      </c>
      <c r="P63" s="66">
        <f>MAX(I63*1000/'Calculation Constants'!$B$14,O63*10*I63*1000/2/('Calculation Constants'!$B$12*1000*'Calculation Constants'!$B$13))</f>
        <v>11.875</v>
      </c>
      <c r="Q63" s="68">
        <f t="shared" si="1"/>
        <v>1105894.9783427313</v>
      </c>
      <c r="R63" s="27">
        <f>(1/(2*LOG(3.7*$I63/'Calculation Constants'!$B$2*1000)))^2</f>
        <v>8.6699836115820689E-3</v>
      </c>
      <c r="S63" s="19">
        <f t="shared" si="13"/>
        <v>0.96467850809376621</v>
      </c>
      <c r="T63" s="19">
        <f>IF($H63&gt;0,'Calculation Constants'!$B$9*Hydraulics!$K63^2/2/9.81/MAX($F$4:$F$253)*$H63,"")</f>
        <v>6.3421890311175441E-2</v>
      </c>
      <c r="U63" s="19">
        <f t="shared" si="14"/>
        <v>1.0281003984049417</v>
      </c>
      <c r="V63" s="19">
        <f t="shared" si="2"/>
        <v>0</v>
      </c>
      <c r="W63" s="19">
        <f t="shared" si="3"/>
        <v>64.814080478163305</v>
      </c>
      <c r="X63" s="23">
        <f t="shared" si="15"/>
        <v>1061.2930804781633</v>
      </c>
      <c r="Y63" s="22">
        <f>(1/(2*LOG(3.7*$I63/'Calculation Constants'!$B$3*1000)))^2</f>
        <v>9.7303620360708887E-3</v>
      </c>
      <c r="Z63" s="19">
        <f t="shared" si="4"/>
        <v>1.0826630767363397</v>
      </c>
      <c r="AA63" s="19">
        <f>IF($H63&gt;0,'Calculation Constants'!$B$9*Hydraulics!$K63^2/2/9.81/MAX($F$4:$F$253)*$H63,"")</f>
        <v>6.3421890311175441E-2</v>
      </c>
      <c r="AB63" s="19">
        <f t="shared" si="27"/>
        <v>1.1460849670475151</v>
      </c>
      <c r="AC63" s="19">
        <f t="shared" si="5"/>
        <v>0</v>
      </c>
      <c r="AD63" s="19">
        <f t="shared" si="17"/>
        <v>59.032836614672533</v>
      </c>
      <c r="AE63" s="23">
        <f t="shared" si="18"/>
        <v>1055.5118366146726</v>
      </c>
      <c r="AF63" s="27">
        <f>(1/(2*LOG(3.7*$I63/'Calculation Constants'!$B$4*1000)))^2</f>
        <v>1.1458969193927592E-2</v>
      </c>
      <c r="AG63" s="19">
        <f t="shared" si="6"/>
        <v>1.274999100520025</v>
      </c>
      <c r="AH63" s="19">
        <f>IF($H63&gt;0,'Calculation Constants'!$B$9*Hydraulics!$K63^2/2/9.81/MAX($F$4:$F$253)*$H63,"")</f>
        <v>6.3421890311175441E-2</v>
      </c>
      <c r="AI63" s="19">
        <f t="shared" si="19"/>
        <v>1.3384209908312004</v>
      </c>
      <c r="AJ63" s="19">
        <f t="shared" si="7"/>
        <v>0</v>
      </c>
      <c r="AK63" s="19">
        <f t="shared" si="20"/>
        <v>49.60837144926586</v>
      </c>
      <c r="AL63" s="23">
        <f t="shared" si="21"/>
        <v>1046.0873714492659</v>
      </c>
      <c r="AM63" s="22">
        <f>(1/(2*LOG(3.7*($I63-0.008)/'Calculation Constants'!$B$5*1000)))^2</f>
        <v>1.4542845531075887E-2</v>
      </c>
      <c r="AN63" s="19">
        <f t="shared" si="22"/>
        <v>1.6249731396833385</v>
      </c>
      <c r="AO63" s="19">
        <f>IF($H63&gt;0,'Calculation Constants'!$B$9*Hydraulics!$K63^2/2/9.81/MAX($F$4:$F$253)*$H63,"")</f>
        <v>6.3421890311175441E-2</v>
      </c>
      <c r="AP63" s="19">
        <f t="shared" si="23"/>
        <v>1.6883950299945139</v>
      </c>
      <c r="AQ63" s="19">
        <f t="shared" si="8"/>
        <v>0</v>
      </c>
      <c r="AR63" s="19">
        <f t="shared" si="24"/>
        <v>32.459643530265566</v>
      </c>
      <c r="AS63" s="23">
        <f t="shared" si="25"/>
        <v>1028.9386435302656</v>
      </c>
    </row>
    <row r="64" spans="5:45">
      <c r="E64" s="35" t="str">
        <f t="shared" si="9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6"/>
        <v>2</v>
      </c>
      <c r="I64" s="19">
        <v>1.9</v>
      </c>
      <c r="J64" s="36">
        <f>'Flow Rate Calculations'!$B$7</f>
        <v>4.0831050228310497</v>
      </c>
      <c r="K64" s="36">
        <f t="shared" si="10"/>
        <v>1.440102709245225</v>
      </c>
      <c r="L64" s="37">
        <f>$I64*$K64/'Calculation Constants'!$B$7</f>
        <v>2421411.6350140949</v>
      </c>
      <c r="M64" s="37">
        <f t="shared" si="11"/>
        <v>115.52300000000002</v>
      </c>
      <c r="N64" s="23">
        <f t="shared" si="12"/>
        <v>64.117980079758468</v>
      </c>
      <c r="O64" s="57">
        <f t="shared" si="0"/>
        <v>115.52300000000002</v>
      </c>
      <c r="P64" s="66">
        <f>MAX(I64*1000/'Calculation Constants'!$B$14,O64*10*I64*1000/2/('Calculation Constants'!$B$12*1000*'Calculation Constants'!$B$13))</f>
        <v>11.875</v>
      </c>
      <c r="Q64" s="68">
        <f t="shared" si="1"/>
        <v>1105894.9783427313</v>
      </c>
      <c r="R64" s="27">
        <f>(1/(2*LOG(3.7*$I64/'Calculation Constants'!$B$2*1000)))^2</f>
        <v>8.6699836115820689E-3</v>
      </c>
      <c r="S64" s="19">
        <f t="shared" si="13"/>
        <v>0.96467850809376621</v>
      </c>
      <c r="T64" s="19">
        <f>IF($H64&gt;0,'Calculation Constants'!$B$9*Hydraulics!$K64^2/2/9.81/MAX($F$4:$F$253)*$H64,"")</f>
        <v>6.3421890311175441E-2</v>
      </c>
      <c r="U64" s="19">
        <f t="shared" si="14"/>
        <v>1.0281003984049417</v>
      </c>
      <c r="V64" s="19">
        <f t="shared" si="2"/>
        <v>0</v>
      </c>
      <c r="W64" s="19">
        <f t="shared" si="3"/>
        <v>64.117980079758468</v>
      </c>
      <c r="X64" s="23">
        <f t="shared" si="15"/>
        <v>1060.2649800797585</v>
      </c>
      <c r="Y64" s="22">
        <f>(1/(2*LOG(3.7*$I64/'Calculation Constants'!$B$3*1000)))^2</f>
        <v>9.7303620360708887E-3</v>
      </c>
      <c r="Z64" s="19">
        <f t="shared" si="4"/>
        <v>1.0826630767363397</v>
      </c>
      <c r="AA64" s="19">
        <f>IF($H64&gt;0,'Calculation Constants'!$B$9*Hydraulics!$K64^2/2/9.81/MAX($F$4:$F$253)*$H64,"")</f>
        <v>6.3421890311175441E-2</v>
      </c>
      <c r="AB64" s="19">
        <f t="shared" si="27"/>
        <v>1.1460849670475151</v>
      </c>
      <c r="AC64" s="19">
        <f t="shared" si="5"/>
        <v>0</v>
      </c>
      <c r="AD64" s="19">
        <f t="shared" si="17"/>
        <v>58.218751647625027</v>
      </c>
      <c r="AE64" s="23">
        <f t="shared" si="18"/>
        <v>1054.3657516476251</v>
      </c>
      <c r="AF64" s="27">
        <f>(1/(2*LOG(3.7*$I64/'Calculation Constants'!$B$4*1000)))^2</f>
        <v>1.1458969193927592E-2</v>
      </c>
      <c r="AG64" s="19">
        <f t="shared" si="6"/>
        <v>1.274999100520025</v>
      </c>
      <c r="AH64" s="19">
        <f>IF($H64&gt;0,'Calculation Constants'!$B$9*Hydraulics!$K64^2/2/9.81/MAX($F$4:$F$253)*$H64,"")</f>
        <v>6.3421890311175441E-2</v>
      </c>
      <c r="AI64" s="19">
        <f t="shared" si="19"/>
        <v>1.3384209908312004</v>
      </c>
      <c r="AJ64" s="19">
        <f t="shared" si="7"/>
        <v>0</v>
      </c>
      <c r="AK64" s="19">
        <f t="shared" si="20"/>
        <v>48.601950458434544</v>
      </c>
      <c r="AL64" s="23">
        <f t="shared" si="21"/>
        <v>1044.7489504584346</v>
      </c>
      <c r="AM64" s="22">
        <f>(1/(2*LOG(3.7*($I64-0.008)/'Calculation Constants'!$B$5*1000)))^2</f>
        <v>1.4542845531075887E-2</v>
      </c>
      <c r="AN64" s="19">
        <f t="shared" si="22"/>
        <v>1.6249731396833385</v>
      </c>
      <c r="AO64" s="19">
        <f>IF($H64&gt;0,'Calculation Constants'!$B$9*Hydraulics!$K64^2/2/9.81/MAX($F$4:$F$253)*$H64,"")</f>
        <v>6.3421890311175441E-2</v>
      </c>
      <c r="AP64" s="19">
        <f t="shared" si="23"/>
        <v>1.6883950299945139</v>
      </c>
      <c r="AQ64" s="19">
        <f t="shared" si="8"/>
        <v>0</v>
      </c>
      <c r="AR64" s="19">
        <f t="shared" si="24"/>
        <v>31.103248500270979</v>
      </c>
      <c r="AS64" s="23">
        <f t="shared" si="25"/>
        <v>1027.250248500271</v>
      </c>
    </row>
    <row r="65" spans="5:45">
      <c r="E65" s="35" t="str">
        <f t="shared" si="9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6"/>
        <v>2</v>
      </c>
      <c r="I65" s="19">
        <v>1.9</v>
      </c>
      <c r="J65" s="36">
        <f>'Flow Rate Calculations'!$B$7</f>
        <v>4.0831050228310497</v>
      </c>
      <c r="K65" s="36">
        <f t="shared" si="10"/>
        <v>1.440102709245225</v>
      </c>
      <c r="L65" s="37">
        <f>$I65*$K65/'Calculation Constants'!$B$7</f>
        <v>2421411.6350140949</v>
      </c>
      <c r="M65" s="37">
        <f t="shared" si="11"/>
        <v>119.57600000000002</v>
      </c>
      <c r="N65" s="23">
        <f t="shared" si="12"/>
        <v>67.142879681353634</v>
      </c>
      <c r="O65" s="57">
        <f t="shared" si="0"/>
        <v>119.57600000000002</v>
      </c>
      <c r="P65" s="66">
        <f>MAX(I65*1000/'Calculation Constants'!$B$14,O65*10*I65*1000/2/('Calculation Constants'!$B$12*1000*'Calculation Constants'!$B$13))</f>
        <v>11.875</v>
      </c>
      <c r="Q65" s="68">
        <f t="shared" si="1"/>
        <v>1105894.9783427313</v>
      </c>
      <c r="R65" s="27">
        <f>(1/(2*LOG(3.7*$I65/'Calculation Constants'!$B$2*1000)))^2</f>
        <v>8.6699836115820689E-3</v>
      </c>
      <c r="S65" s="19">
        <f t="shared" si="13"/>
        <v>0.96467850809376621</v>
      </c>
      <c r="T65" s="19">
        <f>IF($H65&gt;0,'Calculation Constants'!$B$9*Hydraulics!$K65^2/2/9.81/MAX($F$4:$F$253)*$H65,"")</f>
        <v>6.3421890311175441E-2</v>
      </c>
      <c r="U65" s="19">
        <f t="shared" si="14"/>
        <v>1.0281003984049417</v>
      </c>
      <c r="V65" s="19">
        <f t="shared" si="2"/>
        <v>0</v>
      </c>
      <c r="W65" s="19">
        <f t="shared" si="3"/>
        <v>67.142879681353634</v>
      </c>
      <c r="X65" s="23">
        <f t="shared" si="15"/>
        <v>1059.2368796813537</v>
      </c>
      <c r="Y65" s="22">
        <f>(1/(2*LOG(3.7*$I65/'Calculation Constants'!$B$3*1000)))^2</f>
        <v>9.7303620360708887E-3</v>
      </c>
      <c r="Z65" s="19">
        <f t="shared" si="4"/>
        <v>1.0826630767363397</v>
      </c>
      <c r="AA65" s="19">
        <f>IF($H65&gt;0,'Calculation Constants'!$B$9*Hydraulics!$K65^2/2/9.81/MAX($F$4:$F$253)*$H65,"")</f>
        <v>6.3421890311175441E-2</v>
      </c>
      <c r="AB65" s="19">
        <f t="shared" si="27"/>
        <v>1.1460849670475151</v>
      </c>
      <c r="AC65" s="19">
        <f t="shared" si="5"/>
        <v>0</v>
      </c>
      <c r="AD65" s="19">
        <f t="shared" si="17"/>
        <v>61.125666680577524</v>
      </c>
      <c r="AE65" s="23">
        <f t="shared" si="18"/>
        <v>1053.2196666805776</v>
      </c>
      <c r="AF65" s="27">
        <f>(1/(2*LOG(3.7*$I65/'Calculation Constants'!$B$4*1000)))^2</f>
        <v>1.1458969193927592E-2</v>
      </c>
      <c r="AG65" s="19">
        <f t="shared" si="6"/>
        <v>1.274999100520025</v>
      </c>
      <c r="AH65" s="19">
        <f>IF($H65&gt;0,'Calculation Constants'!$B$9*Hydraulics!$K65^2/2/9.81/MAX($F$4:$F$253)*$H65,"")</f>
        <v>6.3421890311175441E-2</v>
      </c>
      <c r="AI65" s="19">
        <f t="shared" si="19"/>
        <v>1.3384209908312004</v>
      </c>
      <c r="AJ65" s="19">
        <f t="shared" si="7"/>
        <v>0</v>
      </c>
      <c r="AK65" s="19">
        <f t="shared" si="20"/>
        <v>51.316529467603232</v>
      </c>
      <c r="AL65" s="23">
        <f t="shared" si="21"/>
        <v>1043.4105294676033</v>
      </c>
      <c r="AM65" s="22">
        <f>(1/(2*LOG(3.7*($I65-0.008)/'Calculation Constants'!$B$5*1000)))^2</f>
        <v>1.4542845531075887E-2</v>
      </c>
      <c r="AN65" s="19">
        <f t="shared" si="22"/>
        <v>1.6249731396833385</v>
      </c>
      <c r="AO65" s="19">
        <f>IF($H65&gt;0,'Calculation Constants'!$B$9*Hydraulics!$K65^2/2/9.81/MAX($F$4:$F$253)*$H65,"")</f>
        <v>6.3421890311175441E-2</v>
      </c>
      <c r="AP65" s="19">
        <f t="shared" si="23"/>
        <v>1.6883950299945139</v>
      </c>
      <c r="AQ65" s="19">
        <f t="shared" si="8"/>
        <v>0</v>
      </c>
      <c r="AR65" s="19">
        <f t="shared" si="24"/>
        <v>33.467853470276395</v>
      </c>
      <c r="AS65" s="23">
        <f t="shared" si="25"/>
        <v>1025.5618534702764</v>
      </c>
    </row>
    <row r="66" spans="5:45">
      <c r="E66" s="35" t="str">
        <f t="shared" si="9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6"/>
        <v>2</v>
      </c>
      <c r="I66" s="19">
        <v>1.9</v>
      </c>
      <c r="J66" s="36">
        <f>'Flow Rate Calculations'!$B$7</f>
        <v>4.0831050228310497</v>
      </c>
      <c r="K66" s="36">
        <f t="shared" si="10"/>
        <v>1.440102709245225</v>
      </c>
      <c r="L66" s="37">
        <f>$I66*$K66/'Calculation Constants'!$B$7</f>
        <v>2421411.6350140949</v>
      </c>
      <c r="M66" s="37">
        <f t="shared" si="11"/>
        <v>126.04700000000003</v>
      </c>
      <c r="N66" s="23">
        <f t="shared" si="12"/>
        <v>72.585779282948806</v>
      </c>
      <c r="O66" s="57">
        <f t="shared" si="0"/>
        <v>126.04700000000003</v>
      </c>
      <c r="P66" s="66">
        <f>MAX(I66*1000/'Calculation Constants'!$B$14,O66*10*I66*1000/2/('Calculation Constants'!$B$12*1000*'Calculation Constants'!$B$13))</f>
        <v>11.875</v>
      </c>
      <c r="Q66" s="68">
        <f t="shared" si="1"/>
        <v>1105894.9783427313</v>
      </c>
      <c r="R66" s="27">
        <f>(1/(2*LOG(3.7*$I66/'Calculation Constants'!$B$2*1000)))^2</f>
        <v>8.6699836115820689E-3</v>
      </c>
      <c r="S66" s="19">
        <f t="shared" si="13"/>
        <v>0.96467850809376621</v>
      </c>
      <c r="T66" s="19">
        <f>IF($H66&gt;0,'Calculation Constants'!$B$9*Hydraulics!$K66^2/2/9.81/MAX($F$4:$F$253)*$H66,"")</f>
        <v>6.3421890311175441E-2</v>
      </c>
      <c r="U66" s="19">
        <f t="shared" si="14"/>
        <v>1.0281003984049417</v>
      </c>
      <c r="V66" s="19">
        <f t="shared" si="2"/>
        <v>0</v>
      </c>
      <c r="W66" s="19">
        <f t="shared" si="3"/>
        <v>72.585779282948806</v>
      </c>
      <c r="X66" s="23">
        <f t="shared" si="15"/>
        <v>1058.2087792829489</v>
      </c>
      <c r="Y66" s="22">
        <f>(1/(2*LOG(3.7*$I66/'Calculation Constants'!$B$3*1000)))^2</f>
        <v>9.7303620360708887E-3</v>
      </c>
      <c r="Z66" s="19">
        <f t="shared" si="4"/>
        <v>1.0826630767363397</v>
      </c>
      <c r="AA66" s="19">
        <f>IF($H66&gt;0,'Calculation Constants'!$B$9*Hydraulics!$K66^2/2/9.81/MAX($F$4:$F$253)*$H66,"")</f>
        <v>6.3421890311175441E-2</v>
      </c>
      <c r="AB66" s="19">
        <f t="shared" si="27"/>
        <v>1.1460849670475151</v>
      </c>
      <c r="AC66" s="19">
        <f t="shared" si="5"/>
        <v>0</v>
      </c>
      <c r="AD66" s="19">
        <f t="shared" si="17"/>
        <v>66.450581713530028</v>
      </c>
      <c r="AE66" s="23">
        <f t="shared" si="18"/>
        <v>1052.0735817135301</v>
      </c>
      <c r="AF66" s="27">
        <f>(1/(2*LOG(3.7*$I66/'Calculation Constants'!$B$4*1000)))^2</f>
        <v>1.1458969193927592E-2</v>
      </c>
      <c r="AG66" s="19">
        <f t="shared" si="6"/>
        <v>1.274999100520025</v>
      </c>
      <c r="AH66" s="19">
        <f>IF($H66&gt;0,'Calculation Constants'!$B$9*Hydraulics!$K66^2/2/9.81/MAX($F$4:$F$253)*$H66,"")</f>
        <v>6.3421890311175441E-2</v>
      </c>
      <c r="AI66" s="19">
        <f t="shared" si="19"/>
        <v>1.3384209908312004</v>
      </c>
      <c r="AJ66" s="19">
        <f t="shared" si="7"/>
        <v>0</v>
      </c>
      <c r="AK66" s="19">
        <f t="shared" si="20"/>
        <v>56.449108476771926</v>
      </c>
      <c r="AL66" s="23">
        <f t="shared" si="21"/>
        <v>1042.072108476772</v>
      </c>
      <c r="AM66" s="22">
        <f>(1/(2*LOG(3.7*($I66-0.008)/'Calculation Constants'!$B$5*1000)))^2</f>
        <v>1.4542845531075887E-2</v>
      </c>
      <c r="AN66" s="19">
        <f t="shared" si="22"/>
        <v>1.6249731396833385</v>
      </c>
      <c r="AO66" s="19">
        <f>IF($H66&gt;0,'Calculation Constants'!$B$9*Hydraulics!$K66^2/2/9.81/MAX($F$4:$F$253)*$H66,"")</f>
        <v>6.3421890311175441E-2</v>
      </c>
      <c r="AP66" s="19">
        <f t="shared" si="23"/>
        <v>1.6883950299945139</v>
      </c>
      <c r="AQ66" s="19">
        <f t="shared" si="8"/>
        <v>0</v>
      </c>
      <c r="AR66" s="19">
        <f t="shared" si="24"/>
        <v>38.250458440281932</v>
      </c>
      <c r="AS66" s="23">
        <f t="shared" si="25"/>
        <v>1023.873458440282</v>
      </c>
    </row>
    <row r="67" spans="5:45">
      <c r="E67" s="35" t="str">
        <f t="shared" si="9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6"/>
        <v>2</v>
      </c>
      <c r="I67" s="19">
        <v>1.9</v>
      </c>
      <c r="J67" s="36">
        <f>'Flow Rate Calculations'!$B$7</f>
        <v>4.0831050228310497</v>
      </c>
      <c r="K67" s="36">
        <f t="shared" si="10"/>
        <v>1.440102709245225</v>
      </c>
      <c r="L67" s="37">
        <f>$I67*$K67/'Calculation Constants'!$B$7</f>
        <v>2421411.6350140949</v>
      </c>
      <c r="M67" s="37">
        <f t="shared" si="11"/>
        <v>133.91100000000006</v>
      </c>
      <c r="N67" s="23">
        <f t="shared" si="12"/>
        <v>79.421678884544008</v>
      </c>
      <c r="O67" s="57">
        <f t="shared" si="0"/>
        <v>133.91100000000006</v>
      </c>
      <c r="P67" s="66">
        <f>MAX(I67*1000/'Calculation Constants'!$B$14,O67*10*I67*1000/2/('Calculation Constants'!$B$12*1000*'Calculation Constants'!$B$13))</f>
        <v>11.875</v>
      </c>
      <c r="Q67" s="68">
        <f t="shared" si="1"/>
        <v>1105894.9783427313</v>
      </c>
      <c r="R67" s="27">
        <f>(1/(2*LOG(3.7*$I67/'Calculation Constants'!$B$2*1000)))^2</f>
        <v>8.6699836115820689E-3</v>
      </c>
      <c r="S67" s="19">
        <f t="shared" si="13"/>
        <v>0.96467850809376621</v>
      </c>
      <c r="T67" s="19">
        <f>IF($H67&gt;0,'Calculation Constants'!$B$9*Hydraulics!$K67^2/2/9.81/MAX($F$4:$F$253)*$H67,"")</f>
        <v>6.3421890311175441E-2</v>
      </c>
      <c r="U67" s="19">
        <f t="shared" si="14"/>
        <v>1.0281003984049417</v>
      </c>
      <c r="V67" s="19">
        <f t="shared" si="2"/>
        <v>0</v>
      </c>
      <c r="W67" s="19">
        <f t="shared" si="3"/>
        <v>79.421678884544008</v>
      </c>
      <c r="X67" s="23">
        <f t="shared" si="15"/>
        <v>1057.180678884544</v>
      </c>
      <c r="Y67" s="22">
        <f>(1/(2*LOG(3.7*$I67/'Calculation Constants'!$B$3*1000)))^2</f>
        <v>9.7303620360708887E-3</v>
      </c>
      <c r="Z67" s="19">
        <f t="shared" si="4"/>
        <v>1.0826630767363397</v>
      </c>
      <c r="AA67" s="19">
        <f>IF($H67&gt;0,'Calculation Constants'!$B$9*Hydraulics!$K67^2/2/9.81/MAX($F$4:$F$253)*$H67,"")</f>
        <v>6.3421890311175441E-2</v>
      </c>
      <c r="AB67" s="19">
        <f t="shared" si="27"/>
        <v>1.1460849670475151</v>
      </c>
      <c r="AC67" s="19">
        <f t="shared" si="5"/>
        <v>0</v>
      </c>
      <c r="AD67" s="19">
        <f t="shared" si="17"/>
        <v>73.16849674648256</v>
      </c>
      <c r="AE67" s="23">
        <f t="shared" si="18"/>
        <v>1050.9274967464826</v>
      </c>
      <c r="AF67" s="27">
        <f>(1/(2*LOG(3.7*$I67/'Calculation Constants'!$B$4*1000)))^2</f>
        <v>1.1458969193927592E-2</v>
      </c>
      <c r="AG67" s="19">
        <f t="shared" si="6"/>
        <v>1.274999100520025</v>
      </c>
      <c r="AH67" s="19">
        <f>IF($H67&gt;0,'Calculation Constants'!$B$9*Hydraulics!$K67^2/2/9.81/MAX($F$4:$F$253)*$H67,"")</f>
        <v>6.3421890311175441E-2</v>
      </c>
      <c r="AI67" s="19">
        <f t="shared" si="19"/>
        <v>1.3384209908312004</v>
      </c>
      <c r="AJ67" s="19">
        <f t="shared" si="7"/>
        <v>0</v>
      </c>
      <c r="AK67" s="19">
        <f t="shared" si="20"/>
        <v>62.974687485940649</v>
      </c>
      <c r="AL67" s="23">
        <f t="shared" si="21"/>
        <v>1040.7336874859407</v>
      </c>
      <c r="AM67" s="22">
        <f>(1/(2*LOG(3.7*($I67-0.008)/'Calculation Constants'!$B$5*1000)))^2</f>
        <v>1.4542845531075887E-2</v>
      </c>
      <c r="AN67" s="19">
        <f t="shared" si="22"/>
        <v>1.6249731396833385</v>
      </c>
      <c r="AO67" s="19">
        <f>IF($H67&gt;0,'Calculation Constants'!$B$9*Hydraulics!$K67^2/2/9.81/MAX($F$4:$F$253)*$H67,"")</f>
        <v>6.3421890311175441E-2</v>
      </c>
      <c r="AP67" s="19">
        <f t="shared" si="23"/>
        <v>1.6883950299945139</v>
      </c>
      <c r="AQ67" s="19">
        <f t="shared" si="8"/>
        <v>0</v>
      </c>
      <c r="AR67" s="19">
        <f t="shared" si="24"/>
        <v>44.426063410287497</v>
      </c>
      <c r="AS67" s="23">
        <f t="shared" si="25"/>
        <v>1022.1850634102875</v>
      </c>
    </row>
    <row r="68" spans="5:45">
      <c r="E68" s="35" t="str">
        <f t="shared" si="9"/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6"/>
        <v>2</v>
      </c>
      <c r="I68" s="19">
        <v>1.9</v>
      </c>
      <c r="J68" s="36">
        <f>'Flow Rate Calculations'!$B$7</f>
        <v>4.0831050228310497</v>
      </c>
      <c r="K68" s="36">
        <f t="shared" si="10"/>
        <v>1.440102709245225</v>
      </c>
      <c r="L68" s="37">
        <f>$I68*$K68/'Calculation Constants'!$B$7</f>
        <v>2421411.6350140949</v>
      </c>
      <c r="M68" s="37">
        <f t="shared" si="11"/>
        <v>141.89800000000002</v>
      </c>
      <c r="N68" s="23">
        <f t="shared" si="12"/>
        <v>86.380578486139143</v>
      </c>
      <c r="O68" s="57">
        <f t="shared" ref="O68:O117" si="29">MAX(M68,AD68)</f>
        <v>141.89800000000002</v>
      </c>
      <c r="P68" s="66">
        <f>MAX(I68*1000/'Calculation Constants'!$B$14,O68*10*I68*1000/2/('Calculation Constants'!$B$12*1000*'Calculation Constants'!$B$13))</f>
        <v>11.875</v>
      </c>
      <c r="Q68" s="68">
        <f t="shared" ref="Q68:Q117" si="30">(I68^2*PI()/4-(I68-P68/1000*2)^2*PI()/4)*H68*1000*7850</f>
        <v>1105894.9783427313</v>
      </c>
      <c r="R68" s="27">
        <f>(1/(2*LOG(3.7*$I68/'Calculation Constants'!$B$2*1000)))^2</f>
        <v>8.6699836115820689E-3</v>
      </c>
      <c r="S68" s="19">
        <f t="shared" si="13"/>
        <v>0.96467850809376621</v>
      </c>
      <c r="T68" s="19">
        <f>IF($H68&gt;0,'Calculation Constants'!$B$9*Hydraulics!$K68^2/2/9.81/MAX($F$4:$F$253)*$H68,"")</f>
        <v>6.3421890311175441E-2</v>
      </c>
      <c r="U68" s="19">
        <f t="shared" si="14"/>
        <v>1.0281003984049417</v>
      </c>
      <c r="V68" s="19">
        <f t="shared" ref="V68:V117" si="31">IF($F68=$B$4,$D$4,(IF($F68=$B$5,$D$5,IF($F68=$B$6,$D$6,0))))</f>
        <v>0</v>
      </c>
      <c r="W68" s="19">
        <f t="shared" ref="W68:W117" si="32">IF(E68="Reservoir",VLOOKUP(F68,$B$11:$D$15,2)-G68,X68-$G68)</f>
        <v>86.380578486139143</v>
      </c>
      <c r="X68" s="23">
        <f t="shared" si="15"/>
        <v>1056.1525784861392</v>
      </c>
      <c r="Y68" s="22">
        <f>(1/(2*LOG(3.7*$I68/'Calculation Constants'!$B$3*1000)))^2</f>
        <v>9.7303620360708887E-3</v>
      </c>
      <c r="Z68" s="19">
        <f t="shared" ref="Z68:Z117" si="33">IF($H68&gt;0,Y68*$H68*$K68^2/2/9.81/$I68*1000,"")</f>
        <v>1.0826630767363397</v>
      </c>
      <c r="AA68" s="19">
        <f>IF($H68&gt;0,'Calculation Constants'!$B$9*Hydraulics!$K68^2/2/9.81/MAX($F$4:$F$253)*$H68,"")</f>
        <v>6.3421890311175441E-2</v>
      </c>
      <c r="AB68" s="19">
        <f t="shared" si="27"/>
        <v>1.1460849670475151</v>
      </c>
      <c r="AC68" s="19">
        <f t="shared" ref="AC68:AC117" si="34">IF($F68=$B$4,$D$4,(IF($F68=$B$5,$D$5,IF($F68=$B$6,$D$6,0))))</f>
        <v>0</v>
      </c>
      <c r="AD68" s="19">
        <f t="shared" si="17"/>
        <v>80.009411779435027</v>
      </c>
      <c r="AE68" s="23">
        <f t="shared" si="18"/>
        <v>1049.7814117794351</v>
      </c>
      <c r="AF68" s="27">
        <f>(1/(2*LOG(3.7*$I68/'Calculation Constants'!$B$4*1000)))^2</f>
        <v>1.1458969193927592E-2</v>
      </c>
      <c r="AG68" s="19">
        <f t="shared" ref="AG68:AG117" si="35">IF($H68&gt;0,AF68*$H68*$K68^2/2/9.81/$I68*1000,"")</f>
        <v>1.274999100520025</v>
      </c>
      <c r="AH68" s="19">
        <f>IF($H68&gt;0,'Calculation Constants'!$B$9*Hydraulics!$K68^2/2/9.81/MAX($F$4:$F$253)*$H68,"")</f>
        <v>6.3421890311175441E-2</v>
      </c>
      <c r="AI68" s="19">
        <f t="shared" si="19"/>
        <v>1.3384209908312004</v>
      </c>
      <c r="AJ68" s="19">
        <f t="shared" ref="AJ68:AJ117" si="36">IF($F68=$B$4,$D$4,(IF($F68=$B$5,$D$5,IF($F68=$B$6,$D$6,0))))</f>
        <v>0</v>
      </c>
      <c r="AK68" s="19">
        <f t="shared" si="20"/>
        <v>69.623266495109306</v>
      </c>
      <c r="AL68" s="23">
        <f t="shared" si="21"/>
        <v>1039.3952664951094</v>
      </c>
      <c r="AM68" s="22">
        <f>(1/(2*LOG(3.7*($I68-0.008)/'Calculation Constants'!$B$5*1000)))^2</f>
        <v>1.4542845531075887E-2</v>
      </c>
      <c r="AN68" s="19">
        <f t="shared" si="22"/>
        <v>1.6249731396833385</v>
      </c>
      <c r="AO68" s="19">
        <f>IF($H68&gt;0,'Calculation Constants'!$B$9*Hydraulics!$K68^2/2/9.81/MAX($F$4:$F$253)*$H68,"")</f>
        <v>6.3421890311175441E-2</v>
      </c>
      <c r="AP68" s="19">
        <f t="shared" si="23"/>
        <v>1.6883950299945139</v>
      </c>
      <c r="AQ68" s="19">
        <f t="shared" ref="AQ68:AQ117" si="37">IF($F68=$B$4,$D$4,(IF($F68=$B$5,$D$5,IF($F68=$B$6,$D$6,0))))</f>
        <v>0</v>
      </c>
      <c r="AR68" s="19">
        <f t="shared" si="24"/>
        <v>50.724668380292997</v>
      </c>
      <c r="AS68" s="23">
        <f t="shared" si="25"/>
        <v>1020.496668380293</v>
      </c>
    </row>
    <row r="69" spans="5:45">
      <c r="E69" s="35" t="str">
        <f t="shared" ref="E69:E132" si="38">IF(OR(F69=$B$11,F69=$B$12,F69=$B$13,F69=$B$14,F69=$B$15,F69=$B$16),"Reservoir",IF(OR(F69=$B$4,F69=$B$5,F69=$B$6),"Pump Station",""))</f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6"/>
        <v>2</v>
      </c>
      <c r="I69" s="19">
        <v>1.9</v>
      </c>
      <c r="J69" s="36">
        <f>'Flow Rate Calculations'!$B$7</f>
        <v>4.0831050228310497</v>
      </c>
      <c r="K69" s="36">
        <f t="shared" ref="K69:K117" si="39">J69/I69^2/PI()*4</f>
        <v>1.440102709245225</v>
      </c>
      <c r="L69" s="37">
        <f>$I69*$K69/'Calculation Constants'!$B$7</f>
        <v>2421411.6350140949</v>
      </c>
      <c r="M69" s="37">
        <f t="shared" ref="M69:M117" si="40">IF(X69&gt;VLOOKUP(F69,$B$11:$D$16,2),"Greater Dynamic Pressures",VLOOKUP(F69,$B$11:$C$16,2)-G69)</f>
        <v>129.8850000000001</v>
      </c>
      <c r="N69" s="23">
        <f t="shared" ref="N69:N117" si="41">W69</f>
        <v>73.339478087734392</v>
      </c>
      <c r="O69" s="57">
        <f t="shared" si="29"/>
        <v>129.8850000000001</v>
      </c>
      <c r="P69" s="66">
        <f>MAX(I69*1000/'Calculation Constants'!$B$14,O69*10*I69*1000/2/('Calculation Constants'!$B$12*1000*'Calculation Constants'!$B$13))</f>
        <v>11.875</v>
      </c>
      <c r="Q69" s="68">
        <f t="shared" si="30"/>
        <v>1105894.9783427313</v>
      </c>
      <c r="R69" s="27">
        <f>(1/(2*LOG(3.7*$I69/'Calculation Constants'!$B$2*1000)))^2</f>
        <v>8.6699836115820689E-3</v>
      </c>
      <c r="S69" s="19">
        <f t="shared" ref="S69:S117" si="42">IF($H69&gt;0,R69*$H69*$K69^2/2/9.81/$I69*1000,"")</f>
        <v>0.96467850809376621</v>
      </c>
      <c r="T69" s="19">
        <f>IF($H69&gt;0,'Calculation Constants'!$B$9*Hydraulics!$K69^2/2/9.81/MAX($F$4:$F$253)*$H69,"")</f>
        <v>6.3421890311175441E-2</v>
      </c>
      <c r="U69" s="19">
        <f t="shared" ref="U69:U117" si="43">IF(S69="",0,S69+T69)</f>
        <v>1.0281003984049417</v>
      </c>
      <c r="V69" s="19">
        <f t="shared" si="31"/>
        <v>0</v>
      </c>
      <c r="W69" s="19">
        <f t="shared" si="32"/>
        <v>73.339478087734392</v>
      </c>
      <c r="X69" s="23">
        <f t="shared" ref="X69:X117" si="44">IF($E69="Reservoir",VLOOKUP($F69,$B$11:$D$16,2)+V69,X68-U69+V69)</f>
        <v>1055.1244780877344</v>
      </c>
      <c r="Y69" s="22">
        <f>(1/(2*LOG(3.7*$I69/'Calculation Constants'!$B$3*1000)))^2</f>
        <v>9.7303620360708887E-3</v>
      </c>
      <c r="Z69" s="19">
        <f t="shared" si="33"/>
        <v>1.0826630767363397</v>
      </c>
      <c r="AA69" s="19">
        <f>IF($H69&gt;0,'Calculation Constants'!$B$9*Hydraulics!$K69^2/2/9.81/MAX($F$4:$F$253)*$H69,"")</f>
        <v>6.3421890311175441E-2</v>
      </c>
      <c r="AB69" s="19">
        <f t="shared" si="27"/>
        <v>1.1460849670475151</v>
      </c>
      <c r="AC69" s="19">
        <f t="shared" si="34"/>
        <v>0</v>
      </c>
      <c r="AD69" s="19">
        <f t="shared" ref="AD69:AD117" si="45">AE69-$G69</f>
        <v>66.850326812387607</v>
      </c>
      <c r="AE69" s="23">
        <f t="shared" ref="AE69:AE117" si="46">IF($E69="Reservoir",VLOOKUP($F69,$B$11:$D$16,2)+AC69,AE68-AB69+AC69)</f>
        <v>1048.6353268123876</v>
      </c>
      <c r="AF69" s="27">
        <f>(1/(2*LOG(3.7*$I69/'Calculation Constants'!$B$4*1000)))^2</f>
        <v>1.1458969193927592E-2</v>
      </c>
      <c r="AG69" s="19">
        <f t="shared" si="35"/>
        <v>1.274999100520025</v>
      </c>
      <c r="AH69" s="19">
        <f>IF($H69&gt;0,'Calculation Constants'!$B$9*Hydraulics!$K69^2/2/9.81/MAX($F$4:$F$253)*$H69,"")</f>
        <v>6.3421890311175441E-2</v>
      </c>
      <c r="AI69" s="19">
        <f t="shared" ref="AI69:AI117" si="47">IF(AG69="",0,AG69+AH69)</f>
        <v>1.3384209908312004</v>
      </c>
      <c r="AJ69" s="19">
        <f t="shared" si="36"/>
        <v>0</v>
      </c>
      <c r="AK69" s="19">
        <f t="shared" ref="AK69:AK117" si="48">AL69-$G69</f>
        <v>56.271845504278076</v>
      </c>
      <c r="AL69" s="23">
        <f t="shared" ref="AL69:AL117" si="49">IF($E69="Reservoir",VLOOKUP($F69,$B$11:$D$16,2)+AJ69,AL68-AI69+AJ69)</f>
        <v>1038.056845504278</v>
      </c>
      <c r="AM69" s="22">
        <f>(1/(2*LOG(3.7*($I69-0.008)/'Calculation Constants'!$B$5*1000)))^2</f>
        <v>1.4542845531075887E-2</v>
      </c>
      <c r="AN69" s="19">
        <f t="shared" ref="AN69:AN117" si="50">IF($H69&gt;0,AM69*$H69*$K69^2/2/9.81/($I69-0.008)*1000,"")</f>
        <v>1.6249731396833385</v>
      </c>
      <c r="AO69" s="19">
        <f>IF($H69&gt;0,'Calculation Constants'!$B$9*Hydraulics!$K69^2/2/9.81/MAX($F$4:$F$253)*$H69,"")</f>
        <v>6.3421890311175441E-2</v>
      </c>
      <c r="AP69" s="19">
        <f t="shared" ref="AP69:AP117" si="51">IF(AN69="",0,AN69+AO69)</f>
        <v>1.6883950299945139</v>
      </c>
      <c r="AQ69" s="19">
        <f t="shared" si="37"/>
        <v>0</v>
      </c>
      <c r="AR69" s="19">
        <f t="shared" ref="AR69:AR117" si="52">AS69-$G69</f>
        <v>37.023273350298609</v>
      </c>
      <c r="AS69" s="23">
        <f t="shared" ref="AS69:AS117" si="53">IF($E69="Reservoir",VLOOKUP($F69,$B$11:$D$16,2)+AQ69,AS68-AP69+AQ69)</f>
        <v>1018.8082733502986</v>
      </c>
    </row>
    <row r="70" spans="5:45">
      <c r="E70" s="35" t="str">
        <f t="shared" si="38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17" si="54">F70-F69</f>
        <v>2</v>
      </c>
      <c r="I70" s="19">
        <v>1.9</v>
      </c>
      <c r="J70" s="36">
        <f>'Flow Rate Calculations'!$B$7</f>
        <v>4.0831050228310497</v>
      </c>
      <c r="K70" s="36">
        <f t="shared" si="39"/>
        <v>1.440102709245225</v>
      </c>
      <c r="L70" s="37">
        <f>$I70*$K70/'Calculation Constants'!$B$7</f>
        <v>2421411.6350140949</v>
      </c>
      <c r="M70" s="37">
        <f t="shared" si="40"/>
        <v>120.2120000000001</v>
      </c>
      <c r="N70" s="23">
        <f t="shared" si="41"/>
        <v>62.638377689329559</v>
      </c>
      <c r="O70" s="57">
        <f t="shared" si="29"/>
        <v>120.2120000000001</v>
      </c>
      <c r="P70" s="66">
        <f>MAX(I70*1000/'Calculation Constants'!$B$14,O70*10*I70*1000/2/('Calculation Constants'!$B$12*1000*'Calculation Constants'!$B$13))</f>
        <v>11.875</v>
      </c>
      <c r="Q70" s="68">
        <f t="shared" si="30"/>
        <v>1105894.9783427313</v>
      </c>
      <c r="R70" s="27">
        <f>(1/(2*LOG(3.7*$I70/'Calculation Constants'!$B$2*1000)))^2</f>
        <v>8.6699836115820689E-3</v>
      </c>
      <c r="S70" s="19">
        <f t="shared" si="42"/>
        <v>0.96467850809376621</v>
      </c>
      <c r="T70" s="19">
        <f>IF($H70&gt;0,'Calculation Constants'!$B$9*Hydraulics!$K70^2/2/9.81/MAX($F$4:$F$253)*$H70,"")</f>
        <v>6.3421890311175441E-2</v>
      </c>
      <c r="U70" s="19">
        <f t="shared" si="43"/>
        <v>1.0281003984049417</v>
      </c>
      <c r="V70" s="19">
        <f t="shared" si="31"/>
        <v>0</v>
      </c>
      <c r="W70" s="19">
        <f t="shared" si="32"/>
        <v>62.638377689329559</v>
      </c>
      <c r="X70" s="23">
        <f t="shared" si="44"/>
        <v>1054.0963776893295</v>
      </c>
      <c r="Y70" s="22">
        <f>(1/(2*LOG(3.7*$I70/'Calculation Constants'!$B$3*1000)))^2</f>
        <v>9.7303620360708887E-3</v>
      </c>
      <c r="Z70" s="19">
        <f t="shared" si="33"/>
        <v>1.0826630767363397</v>
      </c>
      <c r="AA70" s="19">
        <f>IF($H70&gt;0,'Calculation Constants'!$B$9*Hydraulics!$K70^2/2/9.81/MAX($F$4:$F$253)*$H70,"")</f>
        <v>6.3421890311175441E-2</v>
      </c>
      <c r="AB70" s="19">
        <f t="shared" si="27"/>
        <v>1.1460849670475151</v>
      </c>
      <c r="AC70" s="19">
        <f t="shared" si="34"/>
        <v>0</v>
      </c>
      <c r="AD70" s="19">
        <f t="shared" si="45"/>
        <v>56.031241845340105</v>
      </c>
      <c r="AE70" s="23">
        <f t="shared" si="46"/>
        <v>1047.4892418453401</v>
      </c>
      <c r="AF70" s="27">
        <f>(1/(2*LOG(3.7*$I70/'Calculation Constants'!$B$4*1000)))^2</f>
        <v>1.1458969193927592E-2</v>
      </c>
      <c r="AG70" s="19">
        <f t="shared" si="35"/>
        <v>1.274999100520025</v>
      </c>
      <c r="AH70" s="19">
        <f>IF($H70&gt;0,'Calculation Constants'!$B$9*Hydraulics!$K70^2/2/9.81/MAX($F$4:$F$253)*$H70,"")</f>
        <v>6.3421890311175441E-2</v>
      </c>
      <c r="AI70" s="19">
        <f t="shared" si="47"/>
        <v>1.3384209908312004</v>
      </c>
      <c r="AJ70" s="19">
        <f t="shared" si="36"/>
        <v>0</v>
      </c>
      <c r="AK70" s="19">
        <f t="shared" si="48"/>
        <v>45.260424513446765</v>
      </c>
      <c r="AL70" s="23">
        <f t="shared" si="49"/>
        <v>1036.7184245134467</v>
      </c>
      <c r="AM70" s="22">
        <f>(1/(2*LOG(3.7*($I70-0.008)/'Calculation Constants'!$B$5*1000)))^2</f>
        <v>1.4542845531075887E-2</v>
      </c>
      <c r="AN70" s="19">
        <f t="shared" si="50"/>
        <v>1.6249731396833385</v>
      </c>
      <c r="AO70" s="19">
        <f>IF($H70&gt;0,'Calculation Constants'!$B$9*Hydraulics!$K70^2/2/9.81/MAX($F$4:$F$253)*$H70,"")</f>
        <v>6.3421890311175441E-2</v>
      </c>
      <c r="AP70" s="19">
        <f t="shared" si="51"/>
        <v>1.6883950299945139</v>
      </c>
      <c r="AQ70" s="19">
        <f t="shared" si="37"/>
        <v>0</v>
      </c>
      <c r="AR70" s="19">
        <f t="shared" si="52"/>
        <v>25.66187832030414</v>
      </c>
      <c r="AS70" s="23">
        <f t="shared" si="53"/>
        <v>1017.1198783203041</v>
      </c>
    </row>
    <row r="71" spans="5:45">
      <c r="E71" s="35" t="str">
        <f t="shared" si="38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4"/>
        <v>2</v>
      </c>
      <c r="I71" s="19">
        <v>1.9</v>
      </c>
      <c r="J71" s="36">
        <f>'Flow Rate Calculations'!$B$7</f>
        <v>4.0831050228310497</v>
      </c>
      <c r="K71" s="36">
        <f t="shared" si="39"/>
        <v>1.440102709245225</v>
      </c>
      <c r="L71" s="37">
        <f>$I71*$K71/'Calculation Constants'!$B$7</f>
        <v>2421411.6350140949</v>
      </c>
      <c r="M71" s="37">
        <f t="shared" si="40"/>
        <v>123.90000000000009</v>
      </c>
      <c r="N71" s="23">
        <f t="shared" si="41"/>
        <v>65.298277290924716</v>
      </c>
      <c r="O71" s="57">
        <f t="shared" si="29"/>
        <v>123.90000000000009</v>
      </c>
      <c r="P71" s="66">
        <f>MAX(I71*1000/'Calculation Constants'!$B$14,O71*10*I71*1000/2/('Calculation Constants'!$B$12*1000*'Calculation Constants'!$B$13))</f>
        <v>11.875</v>
      </c>
      <c r="Q71" s="68">
        <f t="shared" si="30"/>
        <v>1105894.9783427313</v>
      </c>
      <c r="R71" s="27">
        <f>(1/(2*LOG(3.7*$I71/'Calculation Constants'!$B$2*1000)))^2</f>
        <v>8.6699836115820689E-3</v>
      </c>
      <c r="S71" s="19">
        <f t="shared" si="42"/>
        <v>0.96467850809376621</v>
      </c>
      <c r="T71" s="19">
        <f>IF($H71&gt;0,'Calculation Constants'!$B$9*Hydraulics!$K71^2/2/9.81/MAX($F$4:$F$253)*$H71,"")</f>
        <v>6.3421890311175441E-2</v>
      </c>
      <c r="U71" s="19">
        <f t="shared" si="43"/>
        <v>1.0281003984049417</v>
      </c>
      <c r="V71" s="19">
        <f t="shared" si="31"/>
        <v>0</v>
      </c>
      <c r="W71" s="19">
        <f t="shared" si="32"/>
        <v>65.298277290924716</v>
      </c>
      <c r="X71" s="23">
        <f t="shared" si="44"/>
        <v>1053.0682772909247</v>
      </c>
      <c r="Y71" s="22">
        <f>(1/(2*LOG(3.7*$I71/'Calculation Constants'!$B$3*1000)))^2</f>
        <v>9.7303620360708887E-3</v>
      </c>
      <c r="Z71" s="19">
        <f t="shared" si="33"/>
        <v>1.0826630767363397</v>
      </c>
      <c r="AA71" s="19">
        <f>IF($H71&gt;0,'Calculation Constants'!$B$9*Hydraulics!$K71^2/2/9.81/MAX($F$4:$F$253)*$H71,"")</f>
        <v>6.3421890311175441E-2</v>
      </c>
      <c r="AB71" s="19">
        <f t="shared" si="27"/>
        <v>1.1460849670475151</v>
      </c>
      <c r="AC71" s="19">
        <f t="shared" si="34"/>
        <v>0</v>
      </c>
      <c r="AD71" s="19">
        <f t="shared" si="45"/>
        <v>58.573156878292593</v>
      </c>
      <c r="AE71" s="23">
        <f t="shared" si="46"/>
        <v>1046.3431568782926</v>
      </c>
      <c r="AF71" s="27">
        <f>(1/(2*LOG(3.7*$I71/'Calculation Constants'!$B$4*1000)))^2</f>
        <v>1.1458969193927592E-2</v>
      </c>
      <c r="AG71" s="19">
        <f t="shared" si="35"/>
        <v>1.274999100520025</v>
      </c>
      <c r="AH71" s="19">
        <f>IF($H71&gt;0,'Calculation Constants'!$B$9*Hydraulics!$K71^2/2/9.81/MAX($F$4:$F$253)*$H71,"")</f>
        <v>6.3421890311175441E-2</v>
      </c>
      <c r="AI71" s="19">
        <f t="shared" si="47"/>
        <v>1.3384209908312004</v>
      </c>
      <c r="AJ71" s="19">
        <f t="shared" si="36"/>
        <v>0</v>
      </c>
      <c r="AK71" s="19">
        <f t="shared" si="48"/>
        <v>47.610003522615443</v>
      </c>
      <c r="AL71" s="23">
        <f t="shared" si="49"/>
        <v>1035.3800035226154</v>
      </c>
      <c r="AM71" s="22">
        <f>(1/(2*LOG(3.7*($I71-0.008)/'Calculation Constants'!$B$5*1000)))^2</f>
        <v>1.4542845531075887E-2</v>
      </c>
      <c r="AN71" s="19">
        <f t="shared" si="50"/>
        <v>1.6249731396833385</v>
      </c>
      <c r="AO71" s="19">
        <f>IF($H71&gt;0,'Calculation Constants'!$B$9*Hydraulics!$K71^2/2/9.81/MAX($F$4:$F$253)*$H71,"")</f>
        <v>6.3421890311175441E-2</v>
      </c>
      <c r="AP71" s="19">
        <f t="shared" si="51"/>
        <v>1.6883950299945139</v>
      </c>
      <c r="AQ71" s="19">
        <f t="shared" si="37"/>
        <v>0</v>
      </c>
      <c r="AR71" s="19">
        <f t="shared" si="52"/>
        <v>27.661483290309661</v>
      </c>
      <c r="AS71" s="23">
        <f t="shared" si="53"/>
        <v>1015.4314832903096</v>
      </c>
    </row>
    <row r="72" spans="5:45">
      <c r="E72" s="35" t="str">
        <f t="shared" si="38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4"/>
        <v>2</v>
      </c>
      <c r="I72" s="19">
        <v>1.9</v>
      </c>
      <c r="J72" s="36">
        <f>'Flow Rate Calculations'!$B$7</f>
        <v>4.0831050228310497</v>
      </c>
      <c r="K72" s="36">
        <f t="shared" si="39"/>
        <v>1.440102709245225</v>
      </c>
      <c r="L72" s="37">
        <f>$I72*$K72/'Calculation Constants'!$B$7</f>
        <v>2421411.6350140949</v>
      </c>
      <c r="M72" s="37">
        <f t="shared" si="40"/>
        <v>128.94500000000005</v>
      </c>
      <c r="N72" s="23">
        <f t="shared" si="41"/>
        <v>69.315176892519844</v>
      </c>
      <c r="O72" s="57">
        <f t="shared" si="29"/>
        <v>128.94500000000005</v>
      </c>
      <c r="P72" s="66">
        <f>MAX(I72*1000/'Calculation Constants'!$B$14,O72*10*I72*1000/2/('Calculation Constants'!$B$12*1000*'Calculation Constants'!$B$13))</f>
        <v>11.875</v>
      </c>
      <c r="Q72" s="68">
        <f t="shared" si="30"/>
        <v>1105894.9783427313</v>
      </c>
      <c r="R72" s="27">
        <f>(1/(2*LOG(3.7*$I72/'Calculation Constants'!$B$2*1000)))^2</f>
        <v>8.6699836115820689E-3</v>
      </c>
      <c r="S72" s="19">
        <f t="shared" si="42"/>
        <v>0.96467850809376621</v>
      </c>
      <c r="T72" s="19">
        <f>IF($H72&gt;0,'Calculation Constants'!$B$9*Hydraulics!$K72^2/2/9.81/MAX($F$4:$F$253)*$H72,"")</f>
        <v>6.3421890311175441E-2</v>
      </c>
      <c r="U72" s="19">
        <f t="shared" si="43"/>
        <v>1.0281003984049417</v>
      </c>
      <c r="V72" s="19">
        <f t="shared" si="31"/>
        <v>0</v>
      </c>
      <c r="W72" s="19">
        <f t="shared" si="32"/>
        <v>69.315176892519844</v>
      </c>
      <c r="X72" s="23">
        <f t="shared" si="44"/>
        <v>1052.0401768925199</v>
      </c>
      <c r="Y72" s="22">
        <f>(1/(2*LOG(3.7*$I72/'Calculation Constants'!$B$3*1000)))^2</f>
        <v>9.7303620360708887E-3</v>
      </c>
      <c r="Z72" s="19">
        <f t="shared" si="33"/>
        <v>1.0826630767363397</v>
      </c>
      <c r="AA72" s="19">
        <f>IF($H72&gt;0,'Calculation Constants'!$B$9*Hydraulics!$K72^2/2/9.81/MAX($F$4:$F$253)*$H72,"")</f>
        <v>6.3421890311175441E-2</v>
      </c>
      <c r="AB72" s="19">
        <f t="shared" ref="AB72:AB117" si="55">IF(Z72="",0,Z72+AA72)</f>
        <v>1.1460849670475151</v>
      </c>
      <c r="AC72" s="19">
        <f t="shared" si="34"/>
        <v>0</v>
      </c>
      <c r="AD72" s="19">
        <f t="shared" si="45"/>
        <v>62.472071911245052</v>
      </c>
      <c r="AE72" s="23">
        <f t="shared" si="46"/>
        <v>1045.1970719112451</v>
      </c>
      <c r="AF72" s="27">
        <f>(1/(2*LOG(3.7*$I72/'Calculation Constants'!$B$4*1000)))^2</f>
        <v>1.1458969193927592E-2</v>
      </c>
      <c r="AG72" s="19">
        <f t="shared" si="35"/>
        <v>1.274999100520025</v>
      </c>
      <c r="AH72" s="19">
        <f>IF($H72&gt;0,'Calculation Constants'!$B$9*Hydraulics!$K72^2/2/9.81/MAX($F$4:$F$253)*$H72,"")</f>
        <v>6.3421890311175441E-2</v>
      </c>
      <c r="AI72" s="19">
        <f t="shared" si="47"/>
        <v>1.3384209908312004</v>
      </c>
      <c r="AJ72" s="19">
        <f t="shared" si="36"/>
        <v>0</v>
      </c>
      <c r="AK72" s="19">
        <f t="shared" si="48"/>
        <v>51.316582531784093</v>
      </c>
      <c r="AL72" s="23">
        <f t="shared" si="49"/>
        <v>1034.0415825317841</v>
      </c>
      <c r="AM72" s="22">
        <f>(1/(2*LOG(3.7*($I72-0.008)/'Calculation Constants'!$B$5*1000)))^2</f>
        <v>1.4542845531075887E-2</v>
      </c>
      <c r="AN72" s="19">
        <f t="shared" si="50"/>
        <v>1.6249731396833385</v>
      </c>
      <c r="AO72" s="19">
        <f>IF($H72&gt;0,'Calculation Constants'!$B$9*Hydraulics!$K72^2/2/9.81/MAX($F$4:$F$253)*$H72,"")</f>
        <v>6.3421890311175441E-2</v>
      </c>
      <c r="AP72" s="19">
        <f t="shared" si="51"/>
        <v>1.6883950299945139</v>
      </c>
      <c r="AQ72" s="19">
        <f t="shared" si="37"/>
        <v>0</v>
      </c>
      <c r="AR72" s="19">
        <f t="shared" si="52"/>
        <v>31.018088260315153</v>
      </c>
      <c r="AS72" s="23">
        <f t="shared" si="53"/>
        <v>1013.7430882603152</v>
      </c>
    </row>
    <row r="73" spans="5:45">
      <c r="E73" s="35" t="str">
        <f t="shared" si="38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4"/>
        <v>2</v>
      </c>
      <c r="I73" s="19">
        <v>1.9</v>
      </c>
      <c r="J73" s="36">
        <f>'Flow Rate Calculations'!$B$7</f>
        <v>4.0831050228310497</v>
      </c>
      <c r="K73" s="36">
        <f t="shared" si="39"/>
        <v>1.440102709245225</v>
      </c>
      <c r="L73" s="37">
        <f>$I73*$K73/'Calculation Constants'!$B$7</f>
        <v>2421411.6350140949</v>
      </c>
      <c r="M73" s="37">
        <f t="shared" si="40"/>
        <v>134.1110000000001</v>
      </c>
      <c r="N73" s="23">
        <f t="shared" si="41"/>
        <v>73.453076494115066</v>
      </c>
      <c r="O73" s="57">
        <f t="shared" si="29"/>
        <v>134.1110000000001</v>
      </c>
      <c r="P73" s="66">
        <f>MAX(I73*1000/'Calculation Constants'!$B$14,O73*10*I73*1000/2/('Calculation Constants'!$B$12*1000*'Calculation Constants'!$B$13))</f>
        <v>11.875</v>
      </c>
      <c r="Q73" s="68">
        <f t="shared" si="30"/>
        <v>1105894.9783427313</v>
      </c>
      <c r="R73" s="27">
        <f>(1/(2*LOG(3.7*$I73/'Calculation Constants'!$B$2*1000)))^2</f>
        <v>8.6699836115820689E-3</v>
      </c>
      <c r="S73" s="19">
        <f t="shared" si="42"/>
        <v>0.96467850809376621</v>
      </c>
      <c r="T73" s="19">
        <f>IF($H73&gt;0,'Calculation Constants'!$B$9*Hydraulics!$K73^2/2/9.81/MAX($F$4:$F$253)*$H73,"")</f>
        <v>6.3421890311175441E-2</v>
      </c>
      <c r="U73" s="19">
        <f t="shared" si="43"/>
        <v>1.0281003984049417</v>
      </c>
      <c r="V73" s="19">
        <f t="shared" si="31"/>
        <v>0</v>
      </c>
      <c r="W73" s="19">
        <f t="shared" si="32"/>
        <v>73.453076494115066</v>
      </c>
      <c r="X73" s="23">
        <f t="shared" si="44"/>
        <v>1051.012076494115</v>
      </c>
      <c r="Y73" s="22">
        <f>(1/(2*LOG(3.7*$I73/'Calculation Constants'!$B$3*1000)))^2</f>
        <v>9.7303620360708887E-3</v>
      </c>
      <c r="Z73" s="19">
        <f t="shared" si="33"/>
        <v>1.0826630767363397</v>
      </c>
      <c r="AA73" s="19">
        <f>IF($H73&gt;0,'Calculation Constants'!$B$9*Hydraulics!$K73^2/2/9.81/MAX($F$4:$F$253)*$H73,"")</f>
        <v>6.3421890311175441E-2</v>
      </c>
      <c r="AB73" s="19">
        <f t="shared" si="55"/>
        <v>1.1460849670475151</v>
      </c>
      <c r="AC73" s="19">
        <f t="shared" si="34"/>
        <v>0</v>
      </c>
      <c r="AD73" s="19">
        <f t="shared" si="45"/>
        <v>66.491986944197606</v>
      </c>
      <c r="AE73" s="23">
        <f t="shared" si="46"/>
        <v>1044.0509869441976</v>
      </c>
      <c r="AF73" s="27">
        <f>(1/(2*LOG(3.7*$I73/'Calculation Constants'!$B$4*1000)))^2</f>
        <v>1.1458969193927592E-2</v>
      </c>
      <c r="AG73" s="19">
        <f t="shared" si="35"/>
        <v>1.274999100520025</v>
      </c>
      <c r="AH73" s="19">
        <f>IF($H73&gt;0,'Calculation Constants'!$B$9*Hydraulics!$K73^2/2/9.81/MAX($F$4:$F$253)*$H73,"")</f>
        <v>6.3421890311175441E-2</v>
      </c>
      <c r="AI73" s="19">
        <f t="shared" si="47"/>
        <v>1.3384209908312004</v>
      </c>
      <c r="AJ73" s="19">
        <f t="shared" si="36"/>
        <v>0</v>
      </c>
      <c r="AK73" s="19">
        <f t="shared" si="48"/>
        <v>55.144161540952837</v>
      </c>
      <c r="AL73" s="23">
        <f t="shared" si="49"/>
        <v>1032.7031615409528</v>
      </c>
      <c r="AM73" s="22">
        <f>(1/(2*LOG(3.7*($I73-0.008)/'Calculation Constants'!$B$5*1000)))^2</f>
        <v>1.4542845531075887E-2</v>
      </c>
      <c r="AN73" s="19">
        <f t="shared" si="50"/>
        <v>1.6249731396833385</v>
      </c>
      <c r="AO73" s="19">
        <f>IF($H73&gt;0,'Calculation Constants'!$B$9*Hydraulics!$K73^2/2/9.81/MAX($F$4:$F$253)*$H73,"")</f>
        <v>6.3421890311175441E-2</v>
      </c>
      <c r="AP73" s="19">
        <f t="shared" si="51"/>
        <v>1.6883950299945139</v>
      </c>
      <c r="AQ73" s="19">
        <f t="shared" si="37"/>
        <v>0</v>
      </c>
      <c r="AR73" s="19">
        <f t="shared" si="52"/>
        <v>34.49569323032074</v>
      </c>
      <c r="AS73" s="23">
        <f t="shared" si="53"/>
        <v>1012.0546932303207</v>
      </c>
    </row>
    <row r="74" spans="5:45">
      <c r="E74" s="35" t="str">
        <f t="shared" si="38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4"/>
        <v>2</v>
      </c>
      <c r="I74" s="19">
        <v>1.9</v>
      </c>
      <c r="J74" s="36">
        <f>'Flow Rate Calculations'!$B$7</f>
        <v>4.0831050228310497</v>
      </c>
      <c r="K74" s="36">
        <f t="shared" si="39"/>
        <v>1.440102709245225</v>
      </c>
      <c r="L74" s="37">
        <f>$I74*$K74/'Calculation Constants'!$B$7</f>
        <v>2421411.6350140949</v>
      </c>
      <c r="M74" s="37">
        <f t="shared" si="40"/>
        <v>136.38100000000009</v>
      </c>
      <c r="N74" s="23">
        <f t="shared" si="41"/>
        <v>74.694976095710217</v>
      </c>
      <c r="O74" s="57">
        <f t="shared" si="29"/>
        <v>136.38100000000009</v>
      </c>
      <c r="P74" s="66">
        <f>MAX(I74*1000/'Calculation Constants'!$B$14,O74*10*I74*1000/2/('Calculation Constants'!$B$12*1000*'Calculation Constants'!$B$13))</f>
        <v>11.875</v>
      </c>
      <c r="Q74" s="68">
        <f t="shared" si="30"/>
        <v>1105894.9783427313</v>
      </c>
      <c r="R74" s="27">
        <f>(1/(2*LOG(3.7*$I74/'Calculation Constants'!$B$2*1000)))^2</f>
        <v>8.6699836115820689E-3</v>
      </c>
      <c r="S74" s="19">
        <f t="shared" si="42"/>
        <v>0.96467850809376621</v>
      </c>
      <c r="T74" s="19">
        <f>IF($H74&gt;0,'Calculation Constants'!$B$9*Hydraulics!$K74^2/2/9.81/MAX($F$4:$F$253)*$H74,"")</f>
        <v>6.3421890311175441E-2</v>
      </c>
      <c r="U74" s="19">
        <f t="shared" si="43"/>
        <v>1.0281003984049417</v>
      </c>
      <c r="V74" s="19">
        <f t="shared" si="31"/>
        <v>0</v>
      </c>
      <c r="W74" s="19">
        <f t="shared" si="32"/>
        <v>74.694976095710217</v>
      </c>
      <c r="X74" s="23">
        <f t="shared" si="44"/>
        <v>1049.9839760957102</v>
      </c>
      <c r="Y74" s="22">
        <f>(1/(2*LOG(3.7*$I74/'Calculation Constants'!$B$3*1000)))^2</f>
        <v>9.7303620360708887E-3</v>
      </c>
      <c r="Z74" s="19">
        <f t="shared" si="33"/>
        <v>1.0826630767363397</v>
      </c>
      <c r="AA74" s="19">
        <f>IF($H74&gt;0,'Calculation Constants'!$B$9*Hydraulics!$K74^2/2/9.81/MAX($F$4:$F$253)*$H74,"")</f>
        <v>6.3421890311175441E-2</v>
      </c>
      <c r="AB74" s="19">
        <f t="shared" si="55"/>
        <v>1.1460849670475151</v>
      </c>
      <c r="AC74" s="19">
        <f t="shared" si="34"/>
        <v>0</v>
      </c>
      <c r="AD74" s="19">
        <f t="shared" si="45"/>
        <v>67.615901977150088</v>
      </c>
      <c r="AE74" s="23">
        <f t="shared" si="46"/>
        <v>1042.9049019771501</v>
      </c>
      <c r="AF74" s="27">
        <f>(1/(2*LOG(3.7*$I74/'Calculation Constants'!$B$4*1000)))^2</f>
        <v>1.1458969193927592E-2</v>
      </c>
      <c r="AG74" s="19">
        <f t="shared" si="35"/>
        <v>1.274999100520025</v>
      </c>
      <c r="AH74" s="19">
        <f>IF($H74&gt;0,'Calculation Constants'!$B$9*Hydraulics!$K74^2/2/9.81/MAX($F$4:$F$253)*$H74,"")</f>
        <v>6.3421890311175441E-2</v>
      </c>
      <c r="AI74" s="19">
        <f t="shared" si="47"/>
        <v>1.3384209908312004</v>
      </c>
      <c r="AJ74" s="19">
        <f t="shared" si="36"/>
        <v>0</v>
      </c>
      <c r="AK74" s="19">
        <f t="shared" si="48"/>
        <v>56.075740550121509</v>
      </c>
      <c r="AL74" s="23">
        <f t="shared" si="49"/>
        <v>1031.3647405501215</v>
      </c>
      <c r="AM74" s="22">
        <f>(1/(2*LOG(3.7*($I74-0.008)/'Calculation Constants'!$B$5*1000)))^2</f>
        <v>1.4542845531075887E-2</v>
      </c>
      <c r="AN74" s="19">
        <f t="shared" si="50"/>
        <v>1.6249731396833385</v>
      </c>
      <c r="AO74" s="19">
        <f>IF($H74&gt;0,'Calculation Constants'!$B$9*Hydraulics!$K74^2/2/9.81/MAX($F$4:$F$253)*$H74,"")</f>
        <v>6.3421890311175441E-2</v>
      </c>
      <c r="AP74" s="19">
        <f t="shared" si="51"/>
        <v>1.6883950299945139</v>
      </c>
      <c r="AQ74" s="19">
        <f t="shared" si="37"/>
        <v>0</v>
      </c>
      <c r="AR74" s="19">
        <f t="shared" si="52"/>
        <v>35.077298200326254</v>
      </c>
      <c r="AS74" s="23">
        <f t="shared" si="53"/>
        <v>1010.3662982003262</v>
      </c>
    </row>
    <row r="75" spans="5:45">
      <c r="E75" s="35" t="str">
        <f t="shared" si="38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4"/>
        <v>2</v>
      </c>
      <c r="I75" s="19">
        <v>1.9</v>
      </c>
      <c r="J75" s="36">
        <f>'Flow Rate Calculations'!$B$7</f>
        <v>4.0831050228310497</v>
      </c>
      <c r="K75" s="36">
        <f t="shared" si="39"/>
        <v>1.440102709245225</v>
      </c>
      <c r="L75" s="37">
        <f>$I75*$K75/'Calculation Constants'!$B$7</f>
        <v>2421411.6350140949</v>
      </c>
      <c r="M75" s="37">
        <f t="shared" si="40"/>
        <v>137.70200000000011</v>
      </c>
      <c r="N75" s="23">
        <f t="shared" si="41"/>
        <v>74.987875697305412</v>
      </c>
      <c r="O75" s="57">
        <f t="shared" si="29"/>
        <v>137.70200000000011</v>
      </c>
      <c r="P75" s="66">
        <f>MAX(I75*1000/'Calculation Constants'!$B$14,O75*10*I75*1000/2/('Calculation Constants'!$B$12*1000*'Calculation Constants'!$B$13))</f>
        <v>11.875</v>
      </c>
      <c r="Q75" s="68">
        <f t="shared" si="30"/>
        <v>1105894.9783427313</v>
      </c>
      <c r="R75" s="27">
        <f>(1/(2*LOG(3.7*$I75/'Calculation Constants'!$B$2*1000)))^2</f>
        <v>8.6699836115820689E-3</v>
      </c>
      <c r="S75" s="19">
        <f t="shared" si="42"/>
        <v>0.96467850809376621</v>
      </c>
      <c r="T75" s="19">
        <f>IF($H75&gt;0,'Calculation Constants'!$B$9*Hydraulics!$K75^2/2/9.81/MAX($F$4:$F$253)*$H75,"")</f>
        <v>6.3421890311175441E-2</v>
      </c>
      <c r="U75" s="19">
        <f t="shared" si="43"/>
        <v>1.0281003984049417</v>
      </c>
      <c r="V75" s="19">
        <f t="shared" si="31"/>
        <v>0</v>
      </c>
      <c r="W75" s="19">
        <f t="shared" si="32"/>
        <v>74.987875697305412</v>
      </c>
      <c r="X75" s="23">
        <f t="shared" si="44"/>
        <v>1048.9558756973054</v>
      </c>
      <c r="Y75" s="22">
        <f>(1/(2*LOG(3.7*$I75/'Calculation Constants'!$B$3*1000)))^2</f>
        <v>9.7303620360708887E-3</v>
      </c>
      <c r="Z75" s="19">
        <f t="shared" si="33"/>
        <v>1.0826630767363397</v>
      </c>
      <c r="AA75" s="19">
        <f>IF($H75&gt;0,'Calculation Constants'!$B$9*Hydraulics!$K75^2/2/9.81/MAX($F$4:$F$253)*$H75,"")</f>
        <v>6.3421890311175441E-2</v>
      </c>
      <c r="AB75" s="19">
        <f t="shared" si="55"/>
        <v>1.1460849670475151</v>
      </c>
      <c r="AC75" s="19">
        <f t="shared" si="34"/>
        <v>0</v>
      </c>
      <c r="AD75" s="19">
        <f t="shared" si="45"/>
        <v>67.790817010102614</v>
      </c>
      <c r="AE75" s="23">
        <f t="shared" si="46"/>
        <v>1041.7588170101026</v>
      </c>
      <c r="AF75" s="27">
        <f>(1/(2*LOG(3.7*$I75/'Calculation Constants'!$B$4*1000)))^2</f>
        <v>1.1458969193927592E-2</v>
      </c>
      <c r="AG75" s="19">
        <f t="shared" si="35"/>
        <v>1.274999100520025</v>
      </c>
      <c r="AH75" s="19">
        <f>IF($H75&gt;0,'Calculation Constants'!$B$9*Hydraulics!$K75^2/2/9.81/MAX($F$4:$F$253)*$H75,"")</f>
        <v>6.3421890311175441E-2</v>
      </c>
      <c r="AI75" s="19">
        <f t="shared" si="47"/>
        <v>1.3384209908312004</v>
      </c>
      <c r="AJ75" s="19">
        <f t="shared" si="36"/>
        <v>0</v>
      </c>
      <c r="AK75" s="19">
        <f t="shared" si="48"/>
        <v>56.058319559290226</v>
      </c>
      <c r="AL75" s="23">
        <f t="shared" si="49"/>
        <v>1030.0263195592902</v>
      </c>
      <c r="AM75" s="22">
        <f>(1/(2*LOG(3.7*($I75-0.008)/'Calculation Constants'!$B$5*1000)))^2</f>
        <v>1.4542845531075887E-2</v>
      </c>
      <c r="AN75" s="19">
        <f t="shared" si="50"/>
        <v>1.6249731396833385</v>
      </c>
      <c r="AO75" s="19">
        <f>IF($H75&gt;0,'Calculation Constants'!$B$9*Hydraulics!$K75^2/2/9.81/MAX($F$4:$F$253)*$H75,"")</f>
        <v>6.3421890311175441E-2</v>
      </c>
      <c r="AP75" s="19">
        <f t="shared" si="51"/>
        <v>1.6883950299945139</v>
      </c>
      <c r="AQ75" s="19">
        <f t="shared" si="37"/>
        <v>0</v>
      </c>
      <c r="AR75" s="19">
        <f t="shared" si="52"/>
        <v>34.709903170331813</v>
      </c>
      <c r="AS75" s="23">
        <f t="shared" si="53"/>
        <v>1008.6779031703318</v>
      </c>
    </row>
    <row r="76" spans="5:45">
      <c r="E76" s="35" t="str">
        <f t="shared" si="38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4"/>
        <v>2</v>
      </c>
      <c r="I76" s="19">
        <v>1.9</v>
      </c>
      <c r="J76" s="36">
        <f>'Flow Rate Calculations'!$B$7</f>
        <v>4.0831050228310497</v>
      </c>
      <c r="K76" s="36">
        <f t="shared" si="39"/>
        <v>1.440102709245225</v>
      </c>
      <c r="L76" s="37">
        <f>$I76*$K76/'Calculation Constants'!$B$7</f>
        <v>2421411.6350140949</v>
      </c>
      <c r="M76" s="37">
        <f t="shared" si="40"/>
        <v>149.19700000000012</v>
      </c>
      <c r="N76" s="23">
        <f t="shared" si="41"/>
        <v>85.454775298900586</v>
      </c>
      <c r="O76" s="57">
        <f t="shared" si="29"/>
        <v>149.19700000000012</v>
      </c>
      <c r="P76" s="66">
        <f>MAX(I76*1000/'Calculation Constants'!$B$14,O76*10*I76*1000/2/('Calculation Constants'!$B$12*1000*'Calculation Constants'!$B$13))</f>
        <v>11.875</v>
      </c>
      <c r="Q76" s="68">
        <f t="shared" si="30"/>
        <v>1105894.9783427313</v>
      </c>
      <c r="R76" s="27">
        <f>(1/(2*LOG(3.7*$I76/'Calculation Constants'!$B$2*1000)))^2</f>
        <v>8.6699836115820689E-3</v>
      </c>
      <c r="S76" s="19">
        <f t="shared" si="42"/>
        <v>0.96467850809376621</v>
      </c>
      <c r="T76" s="19">
        <f>IF($H76&gt;0,'Calculation Constants'!$B$9*Hydraulics!$K76^2/2/9.81/MAX($F$4:$F$253)*$H76,"")</f>
        <v>6.3421890311175441E-2</v>
      </c>
      <c r="U76" s="19">
        <f t="shared" si="43"/>
        <v>1.0281003984049417</v>
      </c>
      <c r="V76" s="19">
        <f t="shared" si="31"/>
        <v>0</v>
      </c>
      <c r="W76" s="19">
        <f t="shared" si="32"/>
        <v>85.454775298900586</v>
      </c>
      <c r="X76" s="23">
        <f t="shared" si="44"/>
        <v>1047.9277752989005</v>
      </c>
      <c r="Y76" s="22">
        <f>(1/(2*LOG(3.7*$I76/'Calculation Constants'!$B$3*1000)))^2</f>
        <v>9.7303620360708887E-3</v>
      </c>
      <c r="Z76" s="19">
        <f t="shared" si="33"/>
        <v>1.0826630767363397</v>
      </c>
      <c r="AA76" s="19">
        <f>IF($H76&gt;0,'Calculation Constants'!$B$9*Hydraulics!$K76^2/2/9.81/MAX($F$4:$F$253)*$H76,"")</f>
        <v>6.3421890311175441E-2</v>
      </c>
      <c r="AB76" s="19">
        <f t="shared" si="55"/>
        <v>1.1460849670475151</v>
      </c>
      <c r="AC76" s="19">
        <f t="shared" si="34"/>
        <v>0</v>
      </c>
      <c r="AD76" s="19">
        <f t="shared" si="45"/>
        <v>78.139732043055119</v>
      </c>
      <c r="AE76" s="23">
        <f t="shared" si="46"/>
        <v>1040.6127320430551</v>
      </c>
      <c r="AF76" s="27">
        <f>(1/(2*LOG(3.7*$I76/'Calculation Constants'!$B$4*1000)))^2</f>
        <v>1.1458969193927592E-2</v>
      </c>
      <c r="AG76" s="19">
        <f t="shared" si="35"/>
        <v>1.274999100520025</v>
      </c>
      <c r="AH76" s="19">
        <f>IF($H76&gt;0,'Calculation Constants'!$B$9*Hydraulics!$K76^2/2/9.81/MAX($F$4:$F$253)*$H76,"")</f>
        <v>6.3421890311175441E-2</v>
      </c>
      <c r="AI76" s="19">
        <f t="shared" si="47"/>
        <v>1.3384209908312004</v>
      </c>
      <c r="AJ76" s="19">
        <f t="shared" si="36"/>
        <v>0</v>
      </c>
      <c r="AK76" s="19">
        <f t="shared" si="48"/>
        <v>66.214898568458921</v>
      </c>
      <c r="AL76" s="23">
        <f t="shared" si="49"/>
        <v>1028.6878985684589</v>
      </c>
      <c r="AM76" s="22">
        <f>(1/(2*LOG(3.7*($I76-0.008)/'Calculation Constants'!$B$5*1000)))^2</f>
        <v>1.4542845531075887E-2</v>
      </c>
      <c r="AN76" s="19">
        <f t="shared" si="50"/>
        <v>1.6249731396833385</v>
      </c>
      <c r="AO76" s="19">
        <f>IF($H76&gt;0,'Calculation Constants'!$B$9*Hydraulics!$K76^2/2/9.81/MAX($F$4:$F$253)*$H76,"")</f>
        <v>6.3421890311175441E-2</v>
      </c>
      <c r="AP76" s="19">
        <f t="shared" si="51"/>
        <v>1.6883950299945139</v>
      </c>
      <c r="AQ76" s="19">
        <f t="shared" si="37"/>
        <v>0</v>
      </c>
      <c r="AR76" s="19">
        <f t="shared" si="52"/>
        <v>44.516508140337351</v>
      </c>
      <c r="AS76" s="23">
        <f t="shared" si="53"/>
        <v>1006.9895081403373</v>
      </c>
    </row>
    <row r="77" spans="5:45">
      <c r="E77" s="35" t="str">
        <f t="shared" si="38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4"/>
        <v>2</v>
      </c>
      <c r="I77" s="19">
        <v>1.9</v>
      </c>
      <c r="J77" s="36">
        <f>'Flow Rate Calculations'!$B$7</f>
        <v>4.0831050228310497</v>
      </c>
      <c r="K77" s="36">
        <f t="shared" si="39"/>
        <v>1.440102709245225</v>
      </c>
      <c r="L77" s="37">
        <f>$I77*$K77/'Calculation Constants'!$B$7</f>
        <v>2421411.6350140949</v>
      </c>
      <c r="M77" s="37">
        <f t="shared" si="40"/>
        <v>160.3850000000001</v>
      </c>
      <c r="N77" s="23">
        <f t="shared" si="41"/>
        <v>95.614674900495743</v>
      </c>
      <c r="O77" s="57">
        <f t="shared" si="29"/>
        <v>160.3850000000001</v>
      </c>
      <c r="P77" s="66">
        <f>MAX(I77*1000/'Calculation Constants'!$B$14,O77*10*I77*1000/2/('Calculation Constants'!$B$12*1000*'Calculation Constants'!$B$13))</f>
        <v>11.875</v>
      </c>
      <c r="Q77" s="68">
        <f t="shared" si="30"/>
        <v>1105894.9783427313</v>
      </c>
      <c r="R77" s="27">
        <f>(1/(2*LOG(3.7*$I77/'Calculation Constants'!$B$2*1000)))^2</f>
        <v>8.6699836115820689E-3</v>
      </c>
      <c r="S77" s="19">
        <f t="shared" si="42"/>
        <v>0.96467850809376621</v>
      </c>
      <c r="T77" s="19">
        <f>IF($H77&gt;0,'Calculation Constants'!$B$9*Hydraulics!$K77^2/2/9.81/MAX($F$4:$F$253)*$H77,"")</f>
        <v>6.3421890311175441E-2</v>
      </c>
      <c r="U77" s="19">
        <f t="shared" si="43"/>
        <v>1.0281003984049417</v>
      </c>
      <c r="V77" s="19">
        <f t="shared" si="31"/>
        <v>0</v>
      </c>
      <c r="W77" s="19">
        <f t="shared" si="32"/>
        <v>95.614674900495743</v>
      </c>
      <c r="X77" s="23">
        <f t="shared" si="44"/>
        <v>1046.8996749004957</v>
      </c>
      <c r="Y77" s="22">
        <f>(1/(2*LOG(3.7*$I77/'Calculation Constants'!$B$3*1000)))^2</f>
        <v>9.7303620360708887E-3</v>
      </c>
      <c r="Z77" s="19">
        <f t="shared" si="33"/>
        <v>1.0826630767363397</v>
      </c>
      <c r="AA77" s="19">
        <f>IF($H77&gt;0,'Calculation Constants'!$B$9*Hydraulics!$K77^2/2/9.81/MAX($F$4:$F$253)*$H77,"")</f>
        <v>6.3421890311175441E-2</v>
      </c>
      <c r="AB77" s="19">
        <f t="shared" si="55"/>
        <v>1.1460849670475151</v>
      </c>
      <c r="AC77" s="19">
        <f t="shared" si="34"/>
        <v>0</v>
      </c>
      <c r="AD77" s="19">
        <f t="shared" si="45"/>
        <v>88.181647076007607</v>
      </c>
      <c r="AE77" s="23">
        <f t="shared" si="46"/>
        <v>1039.4666470760076</v>
      </c>
      <c r="AF77" s="27">
        <f>(1/(2*LOG(3.7*$I77/'Calculation Constants'!$B$4*1000)))^2</f>
        <v>1.1458969193927592E-2</v>
      </c>
      <c r="AG77" s="19">
        <f t="shared" si="35"/>
        <v>1.274999100520025</v>
      </c>
      <c r="AH77" s="19">
        <f>IF($H77&gt;0,'Calculation Constants'!$B$9*Hydraulics!$K77^2/2/9.81/MAX($F$4:$F$253)*$H77,"")</f>
        <v>6.3421890311175441E-2</v>
      </c>
      <c r="AI77" s="19">
        <f t="shared" si="47"/>
        <v>1.3384209908312004</v>
      </c>
      <c r="AJ77" s="19">
        <f t="shared" si="36"/>
        <v>0</v>
      </c>
      <c r="AK77" s="19">
        <f t="shared" si="48"/>
        <v>76.064477577627599</v>
      </c>
      <c r="AL77" s="23">
        <f t="shared" si="49"/>
        <v>1027.3494775776276</v>
      </c>
      <c r="AM77" s="22">
        <f>(1/(2*LOG(3.7*($I77-0.008)/'Calculation Constants'!$B$5*1000)))^2</f>
        <v>1.4542845531075887E-2</v>
      </c>
      <c r="AN77" s="19">
        <f t="shared" si="50"/>
        <v>1.6249731396833385</v>
      </c>
      <c r="AO77" s="19">
        <f>IF($H77&gt;0,'Calculation Constants'!$B$9*Hydraulics!$K77^2/2/9.81/MAX($F$4:$F$253)*$H77,"")</f>
        <v>6.3421890311175441E-2</v>
      </c>
      <c r="AP77" s="19">
        <f t="shared" si="51"/>
        <v>1.6883950299945139</v>
      </c>
      <c r="AQ77" s="19">
        <f t="shared" si="37"/>
        <v>0</v>
      </c>
      <c r="AR77" s="19">
        <f t="shared" si="52"/>
        <v>54.016113110342872</v>
      </c>
      <c r="AS77" s="23">
        <f t="shared" si="53"/>
        <v>1005.3011131103428</v>
      </c>
    </row>
    <row r="78" spans="5:45">
      <c r="E78" s="35" t="str">
        <f t="shared" si="38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4"/>
        <v>2</v>
      </c>
      <c r="I78" s="19">
        <v>1.9</v>
      </c>
      <c r="J78" s="36">
        <f>'Flow Rate Calculations'!$B$7</f>
        <v>4.0831050228310497</v>
      </c>
      <c r="K78" s="36">
        <f t="shared" si="39"/>
        <v>1.440102709245225</v>
      </c>
      <c r="L78" s="37">
        <f>$I78*$K78/'Calculation Constants'!$B$7</f>
        <v>2421411.6350140949</v>
      </c>
      <c r="M78" s="37">
        <f t="shared" si="40"/>
        <v>163.49600000000009</v>
      </c>
      <c r="N78" s="23">
        <f t="shared" si="41"/>
        <v>97.697574502090902</v>
      </c>
      <c r="O78" s="57">
        <f t="shared" si="29"/>
        <v>163.49600000000009</v>
      </c>
      <c r="P78" s="66">
        <f>MAX(I78*1000/'Calculation Constants'!$B$14,O78*10*I78*1000/2/('Calculation Constants'!$B$12*1000*'Calculation Constants'!$B$13))</f>
        <v>11.875</v>
      </c>
      <c r="Q78" s="68">
        <f t="shared" si="30"/>
        <v>1105894.9783427313</v>
      </c>
      <c r="R78" s="27">
        <f>(1/(2*LOG(3.7*$I78/'Calculation Constants'!$B$2*1000)))^2</f>
        <v>8.6699836115820689E-3</v>
      </c>
      <c r="S78" s="19">
        <f t="shared" si="42"/>
        <v>0.96467850809376621</v>
      </c>
      <c r="T78" s="19">
        <f>IF($H78&gt;0,'Calculation Constants'!$B$9*Hydraulics!$K78^2/2/9.81/MAX($F$4:$F$253)*$H78,"")</f>
        <v>6.3421890311175441E-2</v>
      </c>
      <c r="U78" s="19">
        <f t="shared" si="43"/>
        <v>1.0281003984049417</v>
      </c>
      <c r="V78" s="19">
        <f t="shared" si="31"/>
        <v>0</v>
      </c>
      <c r="W78" s="19">
        <f t="shared" si="32"/>
        <v>97.697574502090902</v>
      </c>
      <c r="X78" s="23">
        <f t="shared" si="44"/>
        <v>1045.8715745020909</v>
      </c>
      <c r="Y78" s="22">
        <f>(1/(2*LOG(3.7*$I78/'Calculation Constants'!$B$3*1000)))^2</f>
        <v>9.7303620360708887E-3</v>
      </c>
      <c r="Z78" s="19">
        <f t="shared" si="33"/>
        <v>1.0826630767363397</v>
      </c>
      <c r="AA78" s="19">
        <f>IF($H78&gt;0,'Calculation Constants'!$B$9*Hydraulics!$K78^2/2/9.81/MAX($F$4:$F$253)*$H78,"")</f>
        <v>6.3421890311175441E-2</v>
      </c>
      <c r="AB78" s="19">
        <f t="shared" si="55"/>
        <v>1.1460849670475151</v>
      </c>
      <c r="AC78" s="19">
        <f t="shared" si="34"/>
        <v>0</v>
      </c>
      <c r="AD78" s="19">
        <f t="shared" si="45"/>
        <v>90.146562108960097</v>
      </c>
      <c r="AE78" s="23">
        <f t="shared" si="46"/>
        <v>1038.3205621089601</v>
      </c>
      <c r="AF78" s="27">
        <f>(1/(2*LOG(3.7*$I78/'Calculation Constants'!$B$4*1000)))^2</f>
        <v>1.1458969193927592E-2</v>
      </c>
      <c r="AG78" s="19">
        <f t="shared" si="35"/>
        <v>1.274999100520025</v>
      </c>
      <c r="AH78" s="19">
        <f>IF($H78&gt;0,'Calculation Constants'!$B$9*Hydraulics!$K78^2/2/9.81/MAX($F$4:$F$253)*$H78,"")</f>
        <v>6.3421890311175441E-2</v>
      </c>
      <c r="AI78" s="19">
        <f t="shared" si="47"/>
        <v>1.3384209908312004</v>
      </c>
      <c r="AJ78" s="19">
        <f t="shared" si="36"/>
        <v>0</v>
      </c>
      <c r="AK78" s="19">
        <f t="shared" si="48"/>
        <v>77.83705658679628</v>
      </c>
      <c r="AL78" s="23">
        <f t="shared" si="49"/>
        <v>1026.0110565867963</v>
      </c>
      <c r="AM78" s="22">
        <f>(1/(2*LOG(3.7*($I78-0.008)/'Calculation Constants'!$B$5*1000)))^2</f>
        <v>1.4542845531075887E-2</v>
      </c>
      <c r="AN78" s="19">
        <f t="shared" si="50"/>
        <v>1.6249731396833385</v>
      </c>
      <c r="AO78" s="19">
        <f>IF($H78&gt;0,'Calculation Constants'!$B$9*Hydraulics!$K78^2/2/9.81/MAX($F$4:$F$253)*$H78,"")</f>
        <v>6.3421890311175441E-2</v>
      </c>
      <c r="AP78" s="19">
        <f t="shared" si="51"/>
        <v>1.6883950299945139</v>
      </c>
      <c r="AQ78" s="19">
        <f t="shared" si="37"/>
        <v>0</v>
      </c>
      <c r="AR78" s="19">
        <f t="shared" si="52"/>
        <v>55.438718080348394</v>
      </c>
      <c r="AS78" s="23">
        <f t="shared" si="53"/>
        <v>1003.6127180803484</v>
      </c>
    </row>
    <row r="79" spans="5:45">
      <c r="E79" s="35" t="str">
        <f t="shared" si="38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4"/>
        <v>2</v>
      </c>
      <c r="I79" s="19">
        <v>1.9</v>
      </c>
      <c r="J79" s="36">
        <f>'Flow Rate Calculations'!$B$7</f>
        <v>4.0831050228310497</v>
      </c>
      <c r="K79" s="36">
        <f t="shared" si="39"/>
        <v>1.440102709245225</v>
      </c>
      <c r="L79" s="37">
        <f>$I79*$K79/'Calculation Constants'!$B$7</f>
        <v>2421411.6350140949</v>
      </c>
      <c r="M79" s="37">
        <f t="shared" si="40"/>
        <v>167.02900000000011</v>
      </c>
      <c r="N79" s="23">
        <f t="shared" si="41"/>
        <v>100.20247410368609</v>
      </c>
      <c r="O79" s="57">
        <f t="shared" si="29"/>
        <v>167.02900000000011</v>
      </c>
      <c r="P79" s="66">
        <f>MAX(I79*1000/'Calculation Constants'!$B$14,O79*10*I79*1000/2/('Calculation Constants'!$B$12*1000*'Calculation Constants'!$B$13))</f>
        <v>11.875</v>
      </c>
      <c r="Q79" s="68">
        <f t="shared" si="30"/>
        <v>1105894.9783427313</v>
      </c>
      <c r="R79" s="27">
        <f>(1/(2*LOG(3.7*$I79/'Calculation Constants'!$B$2*1000)))^2</f>
        <v>8.6699836115820689E-3</v>
      </c>
      <c r="S79" s="19">
        <f t="shared" si="42"/>
        <v>0.96467850809376621</v>
      </c>
      <c r="T79" s="19">
        <f>IF($H79&gt;0,'Calculation Constants'!$B$9*Hydraulics!$K79^2/2/9.81/MAX($F$4:$F$253)*$H79,"")</f>
        <v>6.3421890311175441E-2</v>
      </c>
      <c r="U79" s="19">
        <f t="shared" si="43"/>
        <v>1.0281003984049417</v>
      </c>
      <c r="V79" s="19">
        <f t="shared" si="31"/>
        <v>0</v>
      </c>
      <c r="W79" s="19">
        <f t="shared" si="32"/>
        <v>100.20247410368609</v>
      </c>
      <c r="X79" s="23">
        <f t="shared" si="44"/>
        <v>1044.843474103686</v>
      </c>
      <c r="Y79" s="22">
        <f>(1/(2*LOG(3.7*$I79/'Calculation Constants'!$B$3*1000)))^2</f>
        <v>9.7303620360708887E-3</v>
      </c>
      <c r="Z79" s="19">
        <f t="shared" si="33"/>
        <v>1.0826630767363397</v>
      </c>
      <c r="AA79" s="19">
        <f>IF($H79&gt;0,'Calculation Constants'!$B$9*Hydraulics!$K79^2/2/9.81/MAX($F$4:$F$253)*$H79,"")</f>
        <v>6.3421890311175441E-2</v>
      </c>
      <c r="AB79" s="19">
        <f t="shared" si="55"/>
        <v>1.1460849670475151</v>
      </c>
      <c r="AC79" s="19">
        <f t="shared" si="34"/>
        <v>0</v>
      </c>
      <c r="AD79" s="19">
        <f t="shared" si="45"/>
        <v>92.533477141912613</v>
      </c>
      <c r="AE79" s="23">
        <f t="shared" si="46"/>
        <v>1037.1744771419126</v>
      </c>
      <c r="AF79" s="27">
        <f>(1/(2*LOG(3.7*$I79/'Calculation Constants'!$B$4*1000)))^2</f>
        <v>1.1458969193927592E-2</v>
      </c>
      <c r="AG79" s="19">
        <f t="shared" si="35"/>
        <v>1.274999100520025</v>
      </c>
      <c r="AH79" s="19">
        <f>IF($H79&gt;0,'Calculation Constants'!$B$9*Hydraulics!$K79^2/2/9.81/MAX($F$4:$F$253)*$H79,"")</f>
        <v>6.3421890311175441E-2</v>
      </c>
      <c r="AI79" s="19">
        <f t="shared" si="47"/>
        <v>1.3384209908312004</v>
      </c>
      <c r="AJ79" s="19">
        <f t="shared" si="36"/>
        <v>0</v>
      </c>
      <c r="AK79" s="19">
        <f t="shared" si="48"/>
        <v>80.031635595964985</v>
      </c>
      <c r="AL79" s="23">
        <f t="shared" si="49"/>
        <v>1024.6726355959649</v>
      </c>
      <c r="AM79" s="22">
        <f>(1/(2*LOG(3.7*($I79-0.008)/'Calculation Constants'!$B$5*1000)))^2</f>
        <v>1.4542845531075887E-2</v>
      </c>
      <c r="AN79" s="19">
        <f t="shared" si="50"/>
        <v>1.6249731396833385</v>
      </c>
      <c r="AO79" s="19">
        <f>IF($H79&gt;0,'Calculation Constants'!$B$9*Hydraulics!$K79^2/2/9.81/MAX($F$4:$F$253)*$H79,"")</f>
        <v>6.3421890311175441E-2</v>
      </c>
      <c r="AP79" s="19">
        <f t="shared" si="51"/>
        <v>1.6883950299945139</v>
      </c>
      <c r="AQ79" s="19">
        <f t="shared" si="37"/>
        <v>0</v>
      </c>
      <c r="AR79" s="19">
        <f t="shared" si="52"/>
        <v>57.283323050353943</v>
      </c>
      <c r="AS79" s="23">
        <f t="shared" si="53"/>
        <v>1001.9243230503539</v>
      </c>
    </row>
    <row r="80" spans="5:45">
      <c r="E80" s="35" t="str">
        <f t="shared" si="38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4"/>
        <v>2</v>
      </c>
      <c r="I80" s="19">
        <v>1.9</v>
      </c>
      <c r="J80" s="36">
        <f>'Flow Rate Calculations'!$B$7</f>
        <v>4.0831050228310497</v>
      </c>
      <c r="K80" s="36">
        <f t="shared" si="39"/>
        <v>1.440102709245225</v>
      </c>
      <c r="L80" s="37">
        <f>$I80*$K80/'Calculation Constants'!$B$7</f>
        <v>2421411.6350140949</v>
      </c>
      <c r="M80" s="37">
        <f t="shared" si="40"/>
        <v>170.10400000000004</v>
      </c>
      <c r="N80" s="23">
        <f t="shared" si="41"/>
        <v>102.24937370528119</v>
      </c>
      <c r="O80" s="57">
        <f t="shared" si="29"/>
        <v>170.10400000000004</v>
      </c>
      <c r="P80" s="66">
        <f>MAX(I80*1000/'Calculation Constants'!$B$14,O80*10*I80*1000/2/('Calculation Constants'!$B$12*1000*'Calculation Constants'!$B$13))</f>
        <v>11.875</v>
      </c>
      <c r="Q80" s="68">
        <f t="shared" si="30"/>
        <v>1105894.9783427313</v>
      </c>
      <c r="R80" s="27">
        <f>(1/(2*LOG(3.7*$I80/'Calculation Constants'!$B$2*1000)))^2</f>
        <v>8.6699836115820689E-3</v>
      </c>
      <c r="S80" s="19">
        <f t="shared" si="42"/>
        <v>0.96467850809376621</v>
      </c>
      <c r="T80" s="19">
        <f>IF($H80&gt;0,'Calculation Constants'!$B$9*Hydraulics!$K80^2/2/9.81/MAX($F$4:$F$253)*$H80,"")</f>
        <v>6.3421890311175441E-2</v>
      </c>
      <c r="U80" s="19">
        <f t="shared" si="43"/>
        <v>1.0281003984049417</v>
      </c>
      <c r="V80" s="19">
        <f t="shared" si="31"/>
        <v>0</v>
      </c>
      <c r="W80" s="19">
        <f t="shared" si="32"/>
        <v>102.24937370528119</v>
      </c>
      <c r="X80" s="23">
        <f t="shared" si="44"/>
        <v>1043.8153737052812</v>
      </c>
      <c r="Y80" s="22">
        <f>(1/(2*LOG(3.7*$I80/'Calculation Constants'!$B$3*1000)))^2</f>
        <v>9.7303620360708887E-3</v>
      </c>
      <c r="Z80" s="19">
        <f t="shared" si="33"/>
        <v>1.0826630767363397</v>
      </c>
      <c r="AA80" s="19">
        <f>IF($H80&gt;0,'Calculation Constants'!$B$9*Hydraulics!$K80^2/2/9.81/MAX($F$4:$F$253)*$H80,"")</f>
        <v>6.3421890311175441E-2</v>
      </c>
      <c r="AB80" s="19">
        <f t="shared" si="55"/>
        <v>1.1460849670475151</v>
      </c>
      <c r="AC80" s="19">
        <f t="shared" si="34"/>
        <v>0</v>
      </c>
      <c r="AD80" s="19">
        <f t="shared" si="45"/>
        <v>94.462392174865045</v>
      </c>
      <c r="AE80" s="23">
        <f t="shared" si="46"/>
        <v>1036.0283921748651</v>
      </c>
      <c r="AF80" s="27">
        <f>(1/(2*LOG(3.7*$I80/'Calculation Constants'!$B$4*1000)))^2</f>
        <v>1.1458969193927592E-2</v>
      </c>
      <c r="AG80" s="19">
        <f t="shared" si="35"/>
        <v>1.274999100520025</v>
      </c>
      <c r="AH80" s="19">
        <f>IF($H80&gt;0,'Calculation Constants'!$B$9*Hydraulics!$K80^2/2/9.81/MAX($F$4:$F$253)*$H80,"")</f>
        <v>6.3421890311175441E-2</v>
      </c>
      <c r="AI80" s="19">
        <f t="shared" si="47"/>
        <v>1.3384209908312004</v>
      </c>
      <c r="AJ80" s="19">
        <f t="shared" si="36"/>
        <v>0</v>
      </c>
      <c r="AK80" s="19">
        <f t="shared" si="48"/>
        <v>81.768214605133721</v>
      </c>
      <c r="AL80" s="23">
        <f t="shared" si="49"/>
        <v>1023.3342146051338</v>
      </c>
      <c r="AM80" s="22">
        <f>(1/(2*LOG(3.7*($I80-0.008)/'Calculation Constants'!$B$5*1000)))^2</f>
        <v>1.4542845531075887E-2</v>
      </c>
      <c r="AN80" s="19">
        <f t="shared" si="50"/>
        <v>1.6249731396833385</v>
      </c>
      <c r="AO80" s="19">
        <f>IF($H80&gt;0,'Calculation Constants'!$B$9*Hydraulics!$K80^2/2/9.81/MAX($F$4:$F$253)*$H80,"")</f>
        <v>6.3421890311175441E-2</v>
      </c>
      <c r="AP80" s="19">
        <f t="shared" si="51"/>
        <v>1.6883950299945139</v>
      </c>
      <c r="AQ80" s="19">
        <f t="shared" si="37"/>
        <v>0</v>
      </c>
      <c r="AR80" s="19">
        <f t="shared" si="52"/>
        <v>58.669928020359407</v>
      </c>
      <c r="AS80" s="23">
        <f t="shared" si="53"/>
        <v>1000.2359280203594</v>
      </c>
    </row>
    <row r="81" spans="5:45">
      <c r="E81" s="35" t="str">
        <f t="shared" si="38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4"/>
        <v>2</v>
      </c>
      <c r="I81" s="19">
        <v>1.9</v>
      </c>
      <c r="J81" s="36">
        <f>'Flow Rate Calculations'!$B$7</f>
        <v>4.0831050228310497</v>
      </c>
      <c r="K81" s="36">
        <f t="shared" si="39"/>
        <v>1.440102709245225</v>
      </c>
      <c r="L81" s="37">
        <f>$I81*$K81/'Calculation Constants'!$B$7</f>
        <v>2421411.6350140949</v>
      </c>
      <c r="M81" s="37">
        <f t="shared" si="40"/>
        <v>170.72800000000007</v>
      </c>
      <c r="N81" s="23">
        <f t="shared" si="41"/>
        <v>101.84527330687638</v>
      </c>
      <c r="O81" s="57">
        <f t="shared" si="29"/>
        <v>170.72800000000007</v>
      </c>
      <c r="P81" s="66">
        <f>MAX(I81*1000/'Calculation Constants'!$B$14,O81*10*I81*1000/2/('Calculation Constants'!$B$12*1000*'Calculation Constants'!$B$13))</f>
        <v>11.875</v>
      </c>
      <c r="Q81" s="68">
        <f t="shared" si="30"/>
        <v>1105894.9783427313</v>
      </c>
      <c r="R81" s="27">
        <f>(1/(2*LOG(3.7*$I81/'Calculation Constants'!$B$2*1000)))^2</f>
        <v>8.6699836115820689E-3</v>
      </c>
      <c r="S81" s="19">
        <f t="shared" si="42"/>
        <v>0.96467850809376621</v>
      </c>
      <c r="T81" s="19">
        <f>IF($H81&gt;0,'Calculation Constants'!$B$9*Hydraulics!$K81^2/2/9.81/MAX($F$4:$F$253)*$H81,"")</f>
        <v>6.3421890311175441E-2</v>
      </c>
      <c r="U81" s="19">
        <f t="shared" si="43"/>
        <v>1.0281003984049417</v>
      </c>
      <c r="V81" s="19">
        <f t="shared" si="31"/>
        <v>0</v>
      </c>
      <c r="W81" s="19">
        <f t="shared" si="32"/>
        <v>101.84527330687638</v>
      </c>
      <c r="X81" s="23">
        <f t="shared" si="44"/>
        <v>1042.7872733068764</v>
      </c>
      <c r="Y81" s="22">
        <f>(1/(2*LOG(3.7*$I81/'Calculation Constants'!$B$3*1000)))^2</f>
        <v>9.7303620360708887E-3</v>
      </c>
      <c r="Z81" s="19">
        <f t="shared" si="33"/>
        <v>1.0826630767363397</v>
      </c>
      <c r="AA81" s="19">
        <f>IF($H81&gt;0,'Calculation Constants'!$B$9*Hydraulics!$K81^2/2/9.81/MAX($F$4:$F$253)*$H81,"")</f>
        <v>6.3421890311175441E-2</v>
      </c>
      <c r="AB81" s="19">
        <f t="shared" si="55"/>
        <v>1.1460849670475151</v>
      </c>
      <c r="AC81" s="19">
        <f t="shared" si="34"/>
        <v>0</v>
      </c>
      <c r="AD81" s="19">
        <f t="shared" si="45"/>
        <v>93.940307207817568</v>
      </c>
      <c r="AE81" s="23">
        <f t="shared" si="46"/>
        <v>1034.8823072078176</v>
      </c>
      <c r="AF81" s="27">
        <f>(1/(2*LOG(3.7*$I81/'Calculation Constants'!$B$4*1000)))^2</f>
        <v>1.1458969193927592E-2</v>
      </c>
      <c r="AG81" s="19">
        <f t="shared" si="35"/>
        <v>1.274999100520025</v>
      </c>
      <c r="AH81" s="19">
        <f>IF($H81&gt;0,'Calculation Constants'!$B$9*Hydraulics!$K81^2/2/9.81/MAX($F$4:$F$253)*$H81,"")</f>
        <v>6.3421890311175441E-2</v>
      </c>
      <c r="AI81" s="19">
        <f t="shared" si="47"/>
        <v>1.3384209908312004</v>
      </c>
      <c r="AJ81" s="19">
        <f t="shared" si="36"/>
        <v>0</v>
      </c>
      <c r="AK81" s="19">
        <f t="shared" si="48"/>
        <v>81.053793614302549</v>
      </c>
      <c r="AL81" s="23">
        <f t="shared" si="49"/>
        <v>1021.9957936143026</v>
      </c>
      <c r="AM81" s="22">
        <f>(1/(2*LOG(3.7*($I81-0.008)/'Calculation Constants'!$B$5*1000)))^2</f>
        <v>1.4542845531075887E-2</v>
      </c>
      <c r="AN81" s="19">
        <f t="shared" si="50"/>
        <v>1.6249731396833385</v>
      </c>
      <c r="AO81" s="19">
        <f>IF($H81&gt;0,'Calculation Constants'!$B$9*Hydraulics!$K81^2/2/9.81/MAX($F$4:$F$253)*$H81,"")</f>
        <v>6.3421890311175441E-2</v>
      </c>
      <c r="AP81" s="19">
        <f t="shared" si="51"/>
        <v>1.6883950299945139</v>
      </c>
      <c r="AQ81" s="19">
        <f t="shared" si="37"/>
        <v>0</v>
      </c>
      <c r="AR81" s="19">
        <f t="shared" si="52"/>
        <v>57.605532990364964</v>
      </c>
      <c r="AS81" s="23">
        <f t="shared" si="53"/>
        <v>998.54753299036497</v>
      </c>
    </row>
    <row r="82" spans="5:45">
      <c r="E82" s="35" t="str">
        <f t="shared" si="38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4"/>
        <v>2</v>
      </c>
      <c r="I82" s="19">
        <v>1.9</v>
      </c>
      <c r="J82" s="36">
        <f>'Flow Rate Calculations'!$B$7</f>
        <v>4.0831050228310497</v>
      </c>
      <c r="K82" s="36">
        <f t="shared" si="39"/>
        <v>1.440102709245225</v>
      </c>
      <c r="L82" s="37">
        <f>$I82*$K82/'Calculation Constants'!$B$7</f>
        <v>2421411.6350140949</v>
      </c>
      <c r="M82" s="37">
        <f t="shared" si="40"/>
        <v>171.94400000000007</v>
      </c>
      <c r="N82" s="23">
        <f t="shared" si="41"/>
        <v>102.03317290847156</v>
      </c>
      <c r="O82" s="57">
        <f t="shared" si="29"/>
        <v>171.94400000000007</v>
      </c>
      <c r="P82" s="66">
        <f>MAX(I82*1000/'Calculation Constants'!$B$14,O82*10*I82*1000/2/('Calculation Constants'!$B$12*1000*'Calculation Constants'!$B$13))</f>
        <v>11.875</v>
      </c>
      <c r="Q82" s="68">
        <f t="shared" si="30"/>
        <v>1105894.9783427313</v>
      </c>
      <c r="R82" s="27">
        <f>(1/(2*LOG(3.7*$I82/'Calculation Constants'!$B$2*1000)))^2</f>
        <v>8.6699836115820689E-3</v>
      </c>
      <c r="S82" s="19">
        <f t="shared" si="42"/>
        <v>0.96467850809376621</v>
      </c>
      <c r="T82" s="19">
        <f>IF($H82&gt;0,'Calculation Constants'!$B$9*Hydraulics!$K82^2/2/9.81/MAX($F$4:$F$253)*$H82,"")</f>
        <v>6.3421890311175441E-2</v>
      </c>
      <c r="U82" s="19">
        <f t="shared" si="43"/>
        <v>1.0281003984049417</v>
      </c>
      <c r="V82" s="19">
        <f t="shared" si="31"/>
        <v>0</v>
      </c>
      <c r="W82" s="19">
        <f t="shared" si="32"/>
        <v>102.03317290847156</v>
      </c>
      <c r="X82" s="23">
        <f t="shared" si="44"/>
        <v>1041.7591729084716</v>
      </c>
      <c r="Y82" s="22">
        <f>(1/(2*LOG(3.7*$I82/'Calculation Constants'!$B$3*1000)))^2</f>
        <v>9.7303620360708887E-3</v>
      </c>
      <c r="Z82" s="19">
        <f t="shared" si="33"/>
        <v>1.0826630767363397</v>
      </c>
      <c r="AA82" s="19">
        <f>IF($H82&gt;0,'Calculation Constants'!$B$9*Hydraulics!$K82^2/2/9.81/MAX($F$4:$F$253)*$H82,"")</f>
        <v>6.3421890311175441E-2</v>
      </c>
      <c r="AB82" s="19">
        <f t="shared" si="55"/>
        <v>1.1460849670475151</v>
      </c>
      <c r="AC82" s="19">
        <f t="shared" si="34"/>
        <v>0</v>
      </c>
      <c r="AD82" s="19">
        <f t="shared" si="45"/>
        <v>94.010222240770076</v>
      </c>
      <c r="AE82" s="23">
        <f t="shared" si="46"/>
        <v>1033.7362222407701</v>
      </c>
      <c r="AF82" s="27">
        <f>(1/(2*LOG(3.7*$I82/'Calculation Constants'!$B$4*1000)))^2</f>
        <v>1.1458969193927592E-2</v>
      </c>
      <c r="AG82" s="19">
        <f t="shared" si="35"/>
        <v>1.274999100520025</v>
      </c>
      <c r="AH82" s="19">
        <f>IF($H82&gt;0,'Calculation Constants'!$B$9*Hydraulics!$K82^2/2/9.81/MAX($F$4:$F$253)*$H82,"")</f>
        <v>6.3421890311175441E-2</v>
      </c>
      <c r="AI82" s="19">
        <f t="shared" si="47"/>
        <v>1.3384209908312004</v>
      </c>
      <c r="AJ82" s="19">
        <f t="shared" si="36"/>
        <v>0</v>
      </c>
      <c r="AK82" s="19">
        <f t="shared" si="48"/>
        <v>80.931372623471361</v>
      </c>
      <c r="AL82" s="23">
        <f t="shared" si="49"/>
        <v>1020.6573726234714</v>
      </c>
      <c r="AM82" s="22">
        <f>(1/(2*LOG(3.7*($I82-0.008)/'Calculation Constants'!$B$5*1000)))^2</f>
        <v>1.4542845531075887E-2</v>
      </c>
      <c r="AN82" s="19">
        <f t="shared" si="50"/>
        <v>1.6249731396833385</v>
      </c>
      <c r="AO82" s="19">
        <f>IF($H82&gt;0,'Calculation Constants'!$B$9*Hydraulics!$K82^2/2/9.81/MAX($F$4:$F$253)*$H82,"")</f>
        <v>6.3421890311175441E-2</v>
      </c>
      <c r="AP82" s="19">
        <f t="shared" si="51"/>
        <v>1.6883950299945139</v>
      </c>
      <c r="AQ82" s="19">
        <f t="shared" si="37"/>
        <v>0</v>
      </c>
      <c r="AR82" s="19">
        <f t="shared" si="52"/>
        <v>57.133137960370505</v>
      </c>
      <c r="AS82" s="23">
        <f t="shared" si="53"/>
        <v>996.8591379603705</v>
      </c>
    </row>
    <row r="83" spans="5:45">
      <c r="E83" s="35" t="str">
        <f t="shared" si="38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4"/>
        <v>2</v>
      </c>
      <c r="I83" s="19">
        <v>1.9</v>
      </c>
      <c r="J83" s="36">
        <f>'Flow Rate Calculations'!$B$7</f>
        <v>4.0831050228310497</v>
      </c>
      <c r="K83" s="36">
        <f t="shared" si="39"/>
        <v>1.440102709245225</v>
      </c>
      <c r="L83" s="37">
        <f>$I83*$K83/'Calculation Constants'!$B$7</f>
        <v>2421411.6350140949</v>
      </c>
      <c r="M83" s="37">
        <f t="shared" si="40"/>
        <v>174.93200000000002</v>
      </c>
      <c r="N83" s="23">
        <f t="shared" si="41"/>
        <v>103.99307251006667</v>
      </c>
      <c r="O83" s="57">
        <f t="shared" si="29"/>
        <v>174.93200000000002</v>
      </c>
      <c r="P83" s="66">
        <f>MAX(I83*1000/'Calculation Constants'!$B$14,O83*10*I83*1000/2/('Calculation Constants'!$B$12*1000*'Calculation Constants'!$B$13))</f>
        <v>11.875</v>
      </c>
      <c r="Q83" s="68">
        <f t="shared" si="30"/>
        <v>1105894.9783427313</v>
      </c>
      <c r="R83" s="27">
        <f>(1/(2*LOG(3.7*$I83/'Calculation Constants'!$B$2*1000)))^2</f>
        <v>8.6699836115820689E-3</v>
      </c>
      <c r="S83" s="19">
        <f t="shared" si="42"/>
        <v>0.96467850809376621</v>
      </c>
      <c r="T83" s="19">
        <f>IF($H83&gt;0,'Calculation Constants'!$B$9*Hydraulics!$K83^2/2/9.81/MAX($F$4:$F$253)*$H83,"")</f>
        <v>6.3421890311175441E-2</v>
      </c>
      <c r="U83" s="19">
        <f t="shared" si="43"/>
        <v>1.0281003984049417</v>
      </c>
      <c r="V83" s="19">
        <f t="shared" si="31"/>
        <v>0</v>
      </c>
      <c r="W83" s="19">
        <f t="shared" si="32"/>
        <v>103.99307251006667</v>
      </c>
      <c r="X83" s="23">
        <f t="shared" si="44"/>
        <v>1040.7310725100667</v>
      </c>
      <c r="Y83" s="22">
        <f>(1/(2*LOG(3.7*$I83/'Calculation Constants'!$B$3*1000)))^2</f>
        <v>9.7303620360708887E-3</v>
      </c>
      <c r="Z83" s="19">
        <f t="shared" si="33"/>
        <v>1.0826630767363397</v>
      </c>
      <c r="AA83" s="19">
        <f>IF($H83&gt;0,'Calculation Constants'!$B$9*Hydraulics!$K83^2/2/9.81/MAX($F$4:$F$253)*$H83,"")</f>
        <v>6.3421890311175441E-2</v>
      </c>
      <c r="AB83" s="19">
        <f t="shared" si="55"/>
        <v>1.1460849670475151</v>
      </c>
      <c r="AC83" s="19">
        <f t="shared" si="34"/>
        <v>0</v>
      </c>
      <c r="AD83" s="19">
        <f t="shared" si="45"/>
        <v>95.852137273722519</v>
      </c>
      <c r="AE83" s="23">
        <f t="shared" si="46"/>
        <v>1032.5901372737226</v>
      </c>
      <c r="AF83" s="27">
        <f>(1/(2*LOG(3.7*$I83/'Calculation Constants'!$B$4*1000)))^2</f>
        <v>1.1458969193927592E-2</v>
      </c>
      <c r="AG83" s="19">
        <f t="shared" si="35"/>
        <v>1.274999100520025</v>
      </c>
      <c r="AH83" s="19">
        <f>IF($H83&gt;0,'Calculation Constants'!$B$9*Hydraulics!$K83^2/2/9.81/MAX($F$4:$F$253)*$H83,"")</f>
        <v>6.3421890311175441E-2</v>
      </c>
      <c r="AI83" s="19">
        <f t="shared" si="47"/>
        <v>1.3384209908312004</v>
      </c>
      <c r="AJ83" s="19">
        <f t="shared" si="36"/>
        <v>0</v>
      </c>
      <c r="AK83" s="19">
        <f t="shared" si="48"/>
        <v>82.580951632640108</v>
      </c>
      <c r="AL83" s="23">
        <f t="shared" si="49"/>
        <v>1019.3189516326402</v>
      </c>
      <c r="AM83" s="22">
        <f>(1/(2*LOG(3.7*($I83-0.008)/'Calculation Constants'!$B$5*1000)))^2</f>
        <v>1.4542845531075887E-2</v>
      </c>
      <c r="AN83" s="19">
        <f t="shared" si="50"/>
        <v>1.6249731396833385</v>
      </c>
      <c r="AO83" s="19">
        <f>IF($H83&gt;0,'Calculation Constants'!$B$9*Hydraulics!$K83^2/2/9.81/MAX($F$4:$F$253)*$H83,"")</f>
        <v>6.3421890311175441E-2</v>
      </c>
      <c r="AP83" s="19">
        <f t="shared" si="51"/>
        <v>1.6883950299945139</v>
      </c>
      <c r="AQ83" s="19">
        <f t="shared" si="37"/>
        <v>0</v>
      </c>
      <c r="AR83" s="19">
        <f t="shared" si="52"/>
        <v>58.43274293037598</v>
      </c>
      <c r="AS83" s="23">
        <f t="shared" si="53"/>
        <v>995.17074293037604</v>
      </c>
    </row>
    <row r="84" spans="5:45">
      <c r="E84" s="35" t="str">
        <f t="shared" si="38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4"/>
        <v>2</v>
      </c>
      <c r="I84" s="19">
        <v>1.9</v>
      </c>
      <c r="J84" s="36">
        <f>'Flow Rate Calculations'!$B$7</f>
        <v>4.0831050228310497</v>
      </c>
      <c r="K84" s="36">
        <f t="shared" si="39"/>
        <v>1.440102709245225</v>
      </c>
      <c r="L84" s="37">
        <f>$I84*$K84/'Calculation Constants'!$B$7</f>
        <v>2421411.6350140949</v>
      </c>
      <c r="M84" s="37">
        <f t="shared" si="40"/>
        <v>178.0200000000001</v>
      </c>
      <c r="N84" s="23">
        <f t="shared" si="41"/>
        <v>106.05297211166192</v>
      </c>
      <c r="O84" s="57">
        <f t="shared" si="29"/>
        <v>178.0200000000001</v>
      </c>
      <c r="P84" s="66">
        <f>MAX(I84*1000/'Calculation Constants'!$B$14,O84*10*I84*1000/2/('Calculation Constants'!$B$12*1000*'Calculation Constants'!$B$13))</f>
        <v>11.875</v>
      </c>
      <c r="Q84" s="68">
        <f t="shared" si="30"/>
        <v>1105894.9783427313</v>
      </c>
      <c r="R84" s="27">
        <f>(1/(2*LOG(3.7*$I84/'Calculation Constants'!$B$2*1000)))^2</f>
        <v>8.6699836115820689E-3</v>
      </c>
      <c r="S84" s="19">
        <f t="shared" si="42"/>
        <v>0.96467850809376621</v>
      </c>
      <c r="T84" s="19">
        <f>IF($H84&gt;0,'Calculation Constants'!$B$9*Hydraulics!$K84^2/2/9.81/MAX($F$4:$F$253)*$H84,"")</f>
        <v>6.3421890311175441E-2</v>
      </c>
      <c r="U84" s="19">
        <f t="shared" si="43"/>
        <v>1.0281003984049417</v>
      </c>
      <c r="V84" s="19">
        <f t="shared" si="31"/>
        <v>0</v>
      </c>
      <c r="W84" s="19">
        <f t="shared" si="32"/>
        <v>106.05297211166192</v>
      </c>
      <c r="X84" s="23">
        <f t="shared" si="44"/>
        <v>1039.7029721116619</v>
      </c>
      <c r="Y84" s="22">
        <f>(1/(2*LOG(3.7*$I84/'Calculation Constants'!$B$3*1000)))^2</f>
        <v>9.7303620360708887E-3</v>
      </c>
      <c r="Z84" s="19">
        <f t="shared" si="33"/>
        <v>1.0826630767363397</v>
      </c>
      <c r="AA84" s="19">
        <f>IF($H84&gt;0,'Calculation Constants'!$B$9*Hydraulics!$K84^2/2/9.81/MAX($F$4:$F$253)*$H84,"")</f>
        <v>6.3421890311175441E-2</v>
      </c>
      <c r="AB84" s="19">
        <f t="shared" si="55"/>
        <v>1.1460849670475151</v>
      </c>
      <c r="AC84" s="19">
        <f t="shared" si="34"/>
        <v>0</v>
      </c>
      <c r="AD84" s="19">
        <f t="shared" si="45"/>
        <v>97.794052306675098</v>
      </c>
      <c r="AE84" s="23">
        <f t="shared" si="46"/>
        <v>1031.4440523066751</v>
      </c>
      <c r="AF84" s="27">
        <f>(1/(2*LOG(3.7*$I84/'Calculation Constants'!$B$4*1000)))^2</f>
        <v>1.1458969193927592E-2</v>
      </c>
      <c r="AG84" s="19">
        <f t="shared" si="35"/>
        <v>1.274999100520025</v>
      </c>
      <c r="AH84" s="19">
        <f>IF($H84&gt;0,'Calculation Constants'!$B$9*Hydraulics!$K84^2/2/9.81/MAX($F$4:$F$253)*$H84,"")</f>
        <v>6.3421890311175441E-2</v>
      </c>
      <c r="AI84" s="19">
        <f t="shared" si="47"/>
        <v>1.3384209908312004</v>
      </c>
      <c r="AJ84" s="19">
        <f t="shared" si="36"/>
        <v>0</v>
      </c>
      <c r="AK84" s="19">
        <f t="shared" si="48"/>
        <v>84.330530641808991</v>
      </c>
      <c r="AL84" s="23">
        <f t="shared" si="49"/>
        <v>1017.980530641809</v>
      </c>
      <c r="AM84" s="22">
        <f>(1/(2*LOG(3.7*($I84-0.008)/'Calculation Constants'!$B$5*1000)))^2</f>
        <v>1.4542845531075887E-2</v>
      </c>
      <c r="AN84" s="19">
        <f t="shared" si="50"/>
        <v>1.6249731396833385</v>
      </c>
      <c r="AO84" s="19">
        <f>IF($H84&gt;0,'Calculation Constants'!$B$9*Hydraulics!$K84^2/2/9.81/MAX($F$4:$F$253)*$H84,"")</f>
        <v>6.3421890311175441E-2</v>
      </c>
      <c r="AP84" s="19">
        <f t="shared" si="51"/>
        <v>1.6883950299945139</v>
      </c>
      <c r="AQ84" s="19">
        <f t="shared" si="37"/>
        <v>0</v>
      </c>
      <c r="AR84" s="19">
        <f t="shared" si="52"/>
        <v>59.832347900381592</v>
      </c>
      <c r="AS84" s="23">
        <f t="shared" si="53"/>
        <v>993.48234790038157</v>
      </c>
    </row>
    <row r="85" spans="5:45">
      <c r="E85" s="35" t="str">
        <f t="shared" si="38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4"/>
        <v>2</v>
      </c>
      <c r="I85" s="19">
        <v>1.8</v>
      </c>
      <c r="J85" s="36">
        <f>'Flow Rate Calculations'!$B$7</f>
        <v>4.0831050228310497</v>
      </c>
      <c r="K85" s="36">
        <f t="shared" si="39"/>
        <v>1.6045588828318709</v>
      </c>
      <c r="L85" s="37">
        <f>$I85*$K85/'Calculation Constants'!$B$7</f>
        <v>2555934.503625989</v>
      </c>
      <c r="M85" s="37">
        <f t="shared" si="40"/>
        <v>178.92500000000007</v>
      </c>
      <c r="N85" s="23">
        <f t="shared" si="41"/>
        <v>105.60399015811811</v>
      </c>
      <c r="O85" s="57">
        <f t="shared" si="29"/>
        <v>178.92500000000007</v>
      </c>
      <c r="P85" s="66">
        <f>MAX(I85*1000/'Calculation Constants'!$B$14,O85*10*I85*1000/2/('Calculation Constants'!$B$12*1000*'Calculation Constants'!$B$13))</f>
        <v>11.25</v>
      </c>
      <c r="Q85" s="68">
        <f t="shared" si="30"/>
        <v>992548.40161508287</v>
      </c>
      <c r="R85" s="27">
        <f>(1/(2*LOG(3.7*$I85/'Calculation Constants'!$B$2*1000)))^2</f>
        <v>8.7463077071963571E-3</v>
      </c>
      <c r="S85" s="19">
        <f t="shared" si="42"/>
        <v>1.2752477269849725</v>
      </c>
      <c r="T85" s="19">
        <f>IF($H85&gt;0,'Calculation Constants'!$B$9*Hydraulics!$K85^2/2/9.81/MAX($F$4:$F$253)*$H85,"")</f>
        <v>7.8734226558858159E-2</v>
      </c>
      <c r="U85" s="19">
        <f t="shared" si="43"/>
        <v>1.3539819535438307</v>
      </c>
      <c r="V85" s="19">
        <f t="shared" si="31"/>
        <v>0</v>
      </c>
      <c r="W85" s="19">
        <f t="shared" si="32"/>
        <v>105.60399015811811</v>
      </c>
      <c r="X85" s="23">
        <f t="shared" si="44"/>
        <v>1038.3489901581181</v>
      </c>
      <c r="Y85" s="22">
        <f>(1/(2*LOG(3.7*$I85/'Calculation Constants'!$B$3*1000)))^2</f>
        <v>9.8211436332891755E-3</v>
      </c>
      <c r="Z85" s="19">
        <f t="shared" si="33"/>
        <v>1.431963236834217</v>
      </c>
      <c r="AA85" s="19">
        <f>IF($H85&gt;0,'Calculation Constants'!$B$9*Hydraulics!$K85^2/2/9.81/MAX($F$4:$F$253)*$H85,"")</f>
        <v>7.8734226558858159E-2</v>
      </c>
      <c r="AB85" s="19">
        <f t="shared" si="55"/>
        <v>1.5106974633930752</v>
      </c>
      <c r="AC85" s="19">
        <f t="shared" si="34"/>
        <v>0</v>
      </c>
      <c r="AD85" s="19">
        <f t="shared" si="45"/>
        <v>97.1883548432819</v>
      </c>
      <c r="AE85" s="23">
        <f t="shared" si="46"/>
        <v>1029.9333548432819</v>
      </c>
      <c r="AF85" s="27">
        <f>(1/(2*LOG(3.7*$I85/'Calculation Constants'!$B$4*1000)))^2</f>
        <v>1.1575055557914658E-2</v>
      </c>
      <c r="AG85" s="19">
        <f t="shared" si="35"/>
        <v>1.6876908272744866</v>
      </c>
      <c r="AH85" s="19">
        <f>IF($H85&gt;0,'Calculation Constants'!$B$9*Hydraulics!$K85^2/2/9.81/MAX($F$4:$F$253)*$H85,"")</f>
        <v>7.8734226558858159E-2</v>
      </c>
      <c r="AI85" s="19">
        <f t="shared" si="47"/>
        <v>1.7664250538333448</v>
      </c>
      <c r="AJ85" s="19">
        <f t="shared" si="36"/>
        <v>0</v>
      </c>
      <c r="AK85" s="19">
        <f t="shared" si="48"/>
        <v>83.469105587975605</v>
      </c>
      <c r="AL85" s="23">
        <f t="shared" si="49"/>
        <v>1016.2141055879756</v>
      </c>
      <c r="AM85" s="22">
        <f>(1/(2*LOG(3.7*($I85-0.008)/'Calculation Constants'!$B$5*1000)))^2</f>
        <v>1.4709705891825043E-2</v>
      </c>
      <c r="AN85" s="19">
        <f t="shared" si="50"/>
        <v>2.1543104841910781</v>
      </c>
      <c r="AO85" s="19">
        <f>IF($H85&gt;0,'Calculation Constants'!$B$9*Hydraulics!$K85^2/2/9.81/MAX($F$4:$F$253)*$H85,"")</f>
        <v>7.8734226558858159E-2</v>
      </c>
      <c r="AP85" s="19">
        <f t="shared" si="51"/>
        <v>2.2330447107499363</v>
      </c>
      <c r="AQ85" s="19">
        <f t="shared" si="37"/>
        <v>0</v>
      </c>
      <c r="AR85" s="19">
        <f t="shared" si="52"/>
        <v>58.504303189631628</v>
      </c>
      <c r="AS85" s="23">
        <f t="shared" si="53"/>
        <v>991.24930318963163</v>
      </c>
    </row>
    <row r="86" spans="5:45">
      <c r="E86" s="35" t="str">
        <f t="shared" si="38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4"/>
        <v>2</v>
      </c>
      <c r="I86" s="19">
        <v>1.8</v>
      </c>
      <c r="J86" s="36">
        <f>'Flow Rate Calculations'!$B$7</f>
        <v>4.0831050228310497</v>
      </c>
      <c r="K86" s="36">
        <f t="shared" si="39"/>
        <v>1.6045588828318709</v>
      </c>
      <c r="L86" s="37">
        <f>$I86*$K86/'Calculation Constants'!$B$7</f>
        <v>2555934.503625989</v>
      </c>
      <c r="M86" s="37">
        <f t="shared" si="40"/>
        <v>179.97400000000005</v>
      </c>
      <c r="N86" s="23">
        <f t="shared" si="41"/>
        <v>105.29900820457431</v>
      </c>
      <c r="O86" s="57">
        <f t="shared" si="29"/>
        <v>179.97400000000005</v>
      </c>
      <c r="P86" s="66">
        <f>MAX(I86*1000/'Calculation Constants'!$B$14,O86*10*I86*1000/2/('Calculation Constants'!$B$12*1000*'Calculation Constants'!$B$13))</f>
        <v>11.25</v>
      </c>
      <c r="Q86" s="68">
        <f t="shared" si="30"/>
        <v>992548.40161508287</v>
      </c>
      <c r="R86" s="27">
        <f>(1/(2*LOG(3.7*$I86/'Calculation Constants'!$B$2*1000)))^2</f>
        <v>8.7463077071963571E-3</v>
      </c>
      <c r="S86" s="19">
        <f t="shared" si="42"/>
        <v>1.2752477269849725</v>
      </c>
      <c r="T86" s="19">
        <f>IF($H86&gt;0,'Calculation Constants'!$B$9*Hydraulics!$K86^2/2/9.81/MAX($F$4:$F$253)*$H86,"")</f>
        <v>7.8734226558858159E-2</v>
      </c>
      <c r="U86" s="19">
        <f t="shared" si="43"/>
        <v>1.3539819535438307</v>
      </c>
      <c r="V86" s="19">
        <f t="shared" si="31"/>
        <v>0</v>
      </c>
      <c r="W86" s="19">
        <f t="shared" si="32"/>
        <v>105.29900820457431</v>
      </c>
      <c r="X86" s="23">
        <f t="shared" si="44"/>
        <v>1036.9950082045743</v>
      </c>
      <c r="Y86" s="22">
        <f>(1/(2*LOG(3.7*$I86/'Calculation Constants'!$B$3*1000)))^2</f>
        <v>9.8211436332891755E-3</v>
      </c>
      <c r="Z86" s="19">
        <f t="shared" si="33"/>
        <v>1.431963236834217</v>
      </c>
      <c r="AA86" s="19">
        <f>IF($H86&gt;0,'Calculation Constants'!$B$9*Hydraulics!$K86^2/2/9.81/MAX($F$4:$F$253)*$H86,"")</f>
        <v>7.8734226558858159E-2</v>
      </c>
      <c r="AB86" s="19">
        <f t="shared" si="55"/>
        <v>1.5106974633930752</v>
      </c>
      <c r="AC86" s="19">
        <f t="shared" si="34"/>
        <v>0</v>
      </c>
      <c r="AD86" s="19">
        <f t="shared" si="45"/>
        <v>96.726657379888707</v>
      </c>
      <c r="AE86" s="23">
        <f t="shared" si="46"/>
        <v>1028.4226573798887</v>
      </c>
      <c r="AF86" s="27">
        <f>(1/(2*LOG(3.7*$I86/'Calculation Constants'!$B$4*1000)))^2</f>
        <v>1.1575055557914658E-2</v>
      </c>
      <c r="AG86" s="19">
        <f t="shared" si="35"/>
        <v>1.6876908272744866</v>
      </c>
      <c r="AH86" s="19">
        <f>IF($H86&gt;0,'Calculation Constants'!$B$9*Hydraulics!$K86^2/2/9.81/MAX($F$4:$F$253)*$H86,"")</f>
        <v>7.8734226558858159E-2</v>
      </c>
      <c r="AI86" s="19">
        <f t="shared" si="47"/>
        <v>1.7664250538333448</v>
      </c>
      <c r="AJ86" s="19">
        <f t="shared" si="36"/>
        <v>0</v>
      </c>
      <c r="AK86" s="19">
        <f t="shared" si="48"/>
        <v>82.751680534142224</v>
      </c>
      <c r="AL86" s="23">
        <f t="shared" si="49"/>
        <v>1014.4476805341423</v>
      </c>
      <c r="AM86" s="22">
        <f>(1/(2*LOG(3.7*($I86-0.008)/'Calculation Constants'!$B$5*1000)))^2</f>
        <v>1.4709705891825043E-2</v>
      </c>
      <c r="AN86" s="19">
        <f t="shared" si="50"/>
        <v>2.1543104841910781</v>
      </c>
      <c r="AO86" s="19">
        <f>IF($H86&gt;0,'Calculation Constants'!$B$9*Hydraulics!$K86^2/2/9.81/MAX($F$4:$F$253)*$H86,"")</f>
        <v>7.8734226558858159E-2</v>
      </c>
      <c r="AP86" s="19">
        <f t="shared" si="51"/>
        <v>2.2330447107499363</v>
      </c>
      <c r="AQ86" s="19">
        <f t="shared" si="37"/>
        <v>0</v>
      </c>
      <c r="AR86" s="19">
        <f t="shared" si="52"/>
        <v>57.320258478881669</v>
      </c>
      <c r="AS86" s="23">
        <f t="shared" si="53"/>
        <v>989.0162584788817</v>
      </c>
    </row>
    <row r="87" spans="5:45">
      <c r="E87" s="35" t="str">
        <f t="shared" si="38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4"/>
        <v>2</v>
      </c>
      <c r="I87" s="19">
        <v>1.8</v>
      </c>
      <c r="J87" s="36">
        <f>'Flow Rate Calculations'!$B$7</f>
        <v>4.0831050228310497</v>
      </c>
      <c r="K87" s="36">
        <f t="shared" si="39"/>
        <v>1.6045588828318709</v>
      </c>
      <c r="L87" s="37">
        <f>$I87*$K87/'Calculation Constants'!$B$7</f>
        <v>2555934.503625989</v>
      </c>
      <c r="M87" s="37">
        <f t="shared" si="40"/>
        <v>180.67100000000005</v>
      </c>
      <c r="N87" s="23">
        <f t="shared" si="41"/>
        <v>104.64202625103053</v>
      </c>
      <c r="O87" s="57">
        <f t="shared" si="29"/>
        <v>180.67100000000005</v>
      </c>
      <c r="P87" s="66">
        <f>MAX(I87*1000/'Calculation Constants'!$B$14,O87*10*I87*1000/2/('Calculation Constants'!$B$12*1000*'Calculation Constants'!$B$13))</f>
        <v>11.25</v>
      </c>
      <c r="Q87" s="68">
        <f t="shared" si="30"/>
        <v>992548.40161508287</v>
      </c>
      <c r="R87" s="27">
        <f>(1/(2*LOG(3.7*$I87/'Calculation Constants'!$B$2*1000)))^2</f>
        <v>8.7463077071963571E-3</v>
      </c>
      <c r="S87" s="19">
        <f t="shared" si="42"/>
        <v>1.2752477269849725</v>
      </c>
      <c r="T87" s="19">
        <f>IF($H87&gt;0,'Calculation Constants'!$B$9*Hydraulics!$K87^2/2/9.81/MAX($F$4:$F$253)*$H87,"")</f>
        <v>7.8734226558858159E-2</v>
      </c>
      <c r="U87" s="19">
        <f t="shared" si="43"/>
        <v>1.3539819535438307</v>
      </c>
      <c r="V87" s="19">
        <f t="shared" si="31"/>
        <v>0</v>
      </c>
      <c r="W87" s="19">
        <f t="shared" si="32"/>
        <v>104.64202625103053</v>
      </c>
      <c r="X87" s="23">
        <f t="shared" si="44"/>
        <v>1035.6410262510306</v>
      </c>
      <c r="Y87" s="22">
        <f>(1/(2*LOG(3.7*$I87/'Calculation Constants'!$B$3*1000)))^2</f>
        <v>9.8211436332891755E-3</v>
      </c>
      <c r="Z87" s="19">
        <f t="shared" si="33"/>
        <v>1.431963236834217</v>
      </c>
      <c r="AA87" s="19">
        <f>IF($H87&gt;0,'Calculation Constants'!$B$9*Hydraulics!$K87^2/2/9.81/MAX($F$4:$F$253)*$H87,"")</f>
        <v>7.8734226558858159E-2</v>
      </c>
      <c r="AB87" s="19">
        <f t="shared" si="55"/>
        <v>1.5106974633930752</v>
      </c>
      <c r="AC87" s="19">
        <f t="shared" si="34"/>
        <v>0</v>
      </c>
      <c r="AD87" s="19">
        <f t="shared" si="45"/>
        <v>95.912959916495538</v>
      </c>
      <c r="AE87" s="23">
        <f t="shared" si="46"/>
        <v>1026.9119599164956</v>
      </c>
      <c r="AF87" s="27">
        <f>(1/(2*LOG(3.7*$I87/'Calculation Constants'!$B$4*1000)))^2</f>
        <v>1.1575055557914658E-2</v>
      </c>
      <c r="AG87" s="19">
        <f t="shared" si="35"/>
        <v>1.6876908272744866</v>
      </c>
      <c r="AH87" s="19">
        <f>IF($H87&gt;0,'Calculation Constants'!$B$9*Hydraulics!$K87^2/2/9.81/MAX($F$4:$F$253)*$H87,"")</f>
        <v>7.8734226558858159E-2</v>
      </c>
      <c r="AI87" s="19">
        <f t="shared" si="47"/>
        <v>1.7664250538333448</v>
      </c>
      <c r="AJ87" s="19">
        <f t="shared" si="36"/>
        <v>0</v>
      </c>
      <c r="AK87" s="19">
        <f t="shared" si="48"/>
        <v>81.682255480308868</v>
      </c>
      <c r="AL87" s="23">
        <f t="shared" si="49"/>
        <v>1012.6812554803089</v>
      </c>
      <c r="AM87" s="22">
        <f>(1/(2*LOG(3.7*($I87-0.008)/'Calculation Constants'!$B$5*1000)))^2</f>
        <v>1.4709705891825043E-2</v>
      </c>
      <c r="AN87" s="19">
        <f t="shared" si="50"/>
        <v>2.1543104841910781</v>
      </c>
      <c r="AO87" s="19">
        <f>IF($H87&gt;0,'Calculation Constants'!$B$9*Hydraulics!$K87^2/2/9.81/MAX($F$4:$F$253)*$H87,"")</f>
        <v>7.8734226558858159E-2</v>
      </c>
      <c r="AP87" s="19">
        <f t="shared" si="51"/>
        <v>2.2330447107499363</v>
      </c>
      <c r="AQ87" s="19">
        <f t="shared" si="37"/>
        <v>0</v>
      </c>
      <c r="AR87" s="19">
        <f t="shared" si="52"/>
        <v>55.784213768131735</v>
      </c>
      <c r="AS87" s="23">
        <f t="shared" si="53"/>
        <v>986.78321376813176</v>
      </c>
    </row>
    <row r="88" spans="5:45">
      <c r="E88" s="35" t="str">
        <f t="shared" si="38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4"/>
        <v>2</v>
      </c>
      <c r="I88" s="19">
        <v>1.8</v>
      </c>
      <c r="J88" s="36">
        <f>'Flow Rate Calculations'!$B$7</f>
        <v>4.0831050228310497</v>
      </c>
      <c r="K88" s="36">
        <f t="shared" si="39"/>
        <v>1.6045588828318709</v>
      </c>
      <c r="L88" s="37">
        <f>$I88*$K88/'Calculation Constants'!$B$7</f>
        <v>2555934.503625989</v>
      </c>
      <c r="M88" s="37">
        <f t="shared" si="40"/>
        <v>180.78500000000008</v>
      </c>
      <c r="N88" s="23">
        <f t="shared" si="41"/>
        <v>103.40204429748678</v>
      </c>
      <c r="O88" s="57">
        <f t="shared" si="29"/>
        <v>180.78500000000008</v>
      </c>
      <c r="P88" s="66">
        <f>MAX(I88*1000/'Calculation Constants'!$B$14,O88*10*I88*1000/2/('Calculation Constants'!$B$12*1000*'Calculation Constants'!$B$13))</f>
        <v>11.25</v>
      </c>
      <c r="Q88" s="68">
        <f t="shared" si="30"/>
        <v>992548.40161508287</v>
      </c>
      <c r="R88" s="27">
        <f>(1/(2*LOG(3.7*$I88/'Calculation Constants'!$B$2*1000)))^2</f>
        <v>8.7463077071963571E-3</v>
      </c>
      <c r="S88" s="19">
        <f t="shared" si="42"/>
        <v>1.2752477269849725</v>
      </c>
      <c r="T88" s="19">
        <f>IF($H88&gt;0,'Calculation Constants'!$B$9*Hydraulics!$K88^2/2/9.81/MAX($F$4:$F$253)*$H88,"")</f>
        <v>7.8734226558858159E-2</v>
      </c>
      <c r="U88" s="19">
        <f t="shared" si="43"/>
        <v>1.3539819535438307</v>
      </c>
      <c r="V88" s="19">
        <f t="shared" si="31"/>
        <v>0</v>
      </c>
      <c r="W88" s="19">
        <f t="shared" si="32"/>
        <v>103.40204429748678</v>
      </c>
      <c r="X88" s="23">
        <f t="shared" si="44"/>
        <v>1034.2870442974868</v>
      </c>
      <c r="Y88" s="22">
        <f>(1/(2*LOG(3.7*$I88/'Calculation Constants'!$B$3*1000)))^2</f>
        <v>9.8211436332891755E-3</v>
      </c>
      <c r="Z88" s="19">
        <f t="shared" si="33"/>
        <v>1.431963236834217</v>
      </c>
      <c r="AA88" s="19">
        <f>IF($H88&gt;0,'Calculation Constants'!$B$9*Hydraulics!$K88^2/2/9.81/MAX($F$4:$F$253)*$H88,"")</f>
        <v>7.8734226558858159E-2</v>
      </c>
      <c r="AB88" s="19">
        <f t="shared" si="55"/>
        <v>1.5106974633930752</v>
      </c>
      <c r="AC88" s="19">
        <f t="shared" si="34"/>
        <v>0</v>
      </c>
      <c r="AD88" s="19">
        <f t="shared" si="45"/>
        <v>94.516262453102399</v>
      </c>
      <c r="AE88" s="23">
        <f t="shared" si="46"/>
        <v>1025.4012624531024</v>
      </c>
      <c r="AF88" s="27">
        <f>(1/(2*LOG(3.7*$I88/'Calculation Constants'!$B$4*1000)))^2</f>
        <v>1.1575055557914658E-2</v>
      </c>
      <c r="AG88" s="19">
        <f t="shared" si="35"/>
        <v>1.6876908272744866</v>
      </c>
      <c r="AH88" s="19">
        <f>IF($H88&gt;0,'Calculation Constants'!$B$9*Hydraulics!$K88^2/2/9.81/MAX($F$4:$F$253)*$H88,"")</f>
        <v>7.8734226558858159E-2</v>
      </c>
      <c r="AI88" s="19">
        <f t="shared" si="47"/>
        <v>1.7664250538333448</v>
      </c>
      <c r="AJ88" s="19">
        <f t="shared" si="36"/>
        <v>0</v>
      </c>
      <c r="AK88" s="19">
        <f t="shared" si="48"/>
        <v>80.029830426475542</v>
      </c>
      <c r="AL88" s="23">
        <f t="shared" si="49"/>
        <v>1010.9148304264755</v>
      </c>
      <c r="AM88" s="22">
        <f>(1/(2*LOG(3.7*($I88-0.008)/'Calculation Constants'!$B$5*1000)))^2</f>
        <v>1.4709705891825043E-2</v>
      </c>
      <c r="AN88" s="19">
        <f t="shared" si="50"/>
        <v>2.1543104841910781</v>
      </c>
      <c r="AO88" s="19">
        <f>IF($H88&gt;0,'Calculation Constants'!$B$9*Hydraulics!$K88^2/2/9.81/MAX($F$4:$F$253)*$H88,"")</f>
        <v>7.8734226558858159E-2</v>
      </c>
      <c r="AP88" s="19">
        <f t="shared" si="51"/>
        <v>2.2330447107499363</v>
      </c>
      <c r="AQ88" s="19">
        <f t="shared" si="37"/>
        <v>0</v>
      </c>
      <c r="AR88" s="19">
        <f t="shared" si="52"/>
        <v>53.665169057381831</v>
      </c>
      <c r="AS88" s="23">
        <f t="shared" si="53"/>
        <v>984.55016905738182</v>
      </c>
    </row>
    <row r="89" spans="5:45">
      <c r="E89" s="35" t="str">
        <f t="shared" si="38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4"/>
        <v>2</v>
      </c>
      <c r="I89" s="19">
        <v>1.8</v>
      </c>
      <c r="J89" s="36">
        <f>'Flow Rate Calculations'!$B$7</f>
        <v>4.0831050228310497</v>
      </c>
      <c r="K89" s="36">
        <f t="shared" si="39"/>
        <v>1.6045588828318709</v>
      </c>
      <c r="L89" s="37">
        <f>$I89*$K89/'Calculation Constants'!$B$7</f>
        <v>2555934.503625989</v>
      </c>
      <c r="M89" s="37">
        <f t="shared" si="40"/>
        <v>181.29200000000003</v>
      </c>
      <c r="N89" s="23">
        <f t="shared" si="41"/>
        <v>102.55506234394295</v>
      </c>
      <c r="O89" s="57">
        <f t="shared" si="29"/>
        <v>181.29200000000003</v>
      </c>
      <c r="P89" s="66">
        <f>MAX(I89*1000/'Calculation Constants'!$B$14,O89*10*I89*1000/2/('Calculation Constants'!$B$12*1000*'Calculation Constants'!$B$13))</f>
        <v>11.25</v>
      </c>
      <c r="Q89" s="68">
        <f t="shared" si="30"/>
        <v>992548.40161508287</v>
      </c>
      <c r="R89" s="27">
        <f>(1/(2*LOG(3.7*$I89/'Calculation Constants'!$B$2*1000)))^2</f>
        <v>8.7463077071963571E-3</v>
      </c>
      <c r="S89" s="19">
        <f t="shared" si="42"/>
        <v>1.2752477269849725</v>
      </c>
      <c r="T89" s="19">
        <f>IF($H89&gt;0,'Calculation Constants'!$B$9*Hydraulics!$K89^2/2/9.81/MAX($F$4:$F$253)*$H89,"")</f>
        <v>7.8734226558858159E-2</v>
      </c>
      <c r="U89" s="19">
        <f t="shared" si="43"/>
        <v>1.3539819535438307</v>
      </c>
      <c r="V89" s="19">
        <f t="shared" si="31"/>
        <v>0</v>
      </c>
      <c r="W89" s="19">
        <f t="shared" si="32"/>
        <v>102.55506234394295</v>
      </c>
      <c r="X89" s="23">
        <f t="shared" si="44"/>
        <v>1032.933062343943</v>
      </c>
      <c r="Y89" s="22">
        <f>(1/(2*LOG(3.7*$I89/'Calculation Constants'!$B$3*1000)))^2</f>
        <v>9.8211436332891755E-3</v>
      </c>
      <c r="Z89" s="19">
        <f t="shared" si="33"/>
        <v>1.431963236834217</v>
      </c>
      <c r="AA89" s="19">
        <f>IF($H89&gt;0,'Calculation Constants'!$B$9*Hydraulics!$K89^2/2/9.81/MAX($F$4:$F$253)*$H89,"")</f>
        <v>7.8734226558858159E-2</v>
      </c>
      <c r="AB89" s="19">
        <f t="shared" si="55"/>
        <v>1.5106974633930752</v>
      </c>
      <c r="AC89" s="19">
        <f t="shared" si="34"/>
        <v>0</v>
      </c>
      <c r="AD89" s="19">
        <f t="shared" si="45"/>
        <v>93.51256498970929</v>
      </c>
      <c r="AE89" s="23">
        <f t="shared" si="46"/>
        <v>1023.8905649897093</v>
      </c>
      <c r="AF89" s="27">
        <f>(1/(2*LOG(3.7*$I89/'Calculation Constants'!$B$4*1000)))^2</f>
        <v>1.1575055557914658E-2</v>
      </c>
      <c r="AG89" s="19">
        <f t="shared" si="35"/>
        <v>1.6876908272744866</v>
      </c>
      <c r="AH89" s="19">
        <f>IF($H89&gt;0,'Calculation Constants'!$B$9*Hydraulics!$K89^2/2/9.81/MAX($F$4:$F$253)*$H89,"")</f>
        <v>7.8734226558858159E-2</v>
      </c>
      <c r="AI89" s="19">
        <f t="shared" si="47"/>
        <v>1.7664250538333448</v>
      </c>
      <c r="AJ89" s="19">
        <f t="shared" si="36"/>
        <v>0</v>
      </c>
      <c r="AK89" s="19">
        <f t="shared" si="48"/>
        <v>78.770405372642131</v>
      </c>
      <c r="AL89" s="23">
        <f t="shared" si="49"/>
        <v>1009.1484053726422</v>
      </c>
      <c r="AM89" s="22">
        <f>(1/(2*LOG(3.7*($I89-0.008)/'Calculation Constants'!$B$5*1000)))^2</f>
        <v>1.4709705891825043E-2</v>
      </c>
      <c r="AN89" s="19">
        <f t="shared" si="50"/>
        <v>2.1543104841910781</v>
      </c>
      <c r="AO89" s="19">
        <f>IF($H89&gt;0,'Calculation Constants'!$B$9*Hydraulics!$K89^2/2/9.81/MAX($F$4:$F$253)*$H89,"")</f>
        <v>7.8734226558858159E-2</v>
      </c>
      <c r="AP89" s="19">
        <f t="shared" si="51"/>
        <v>2.2330447107499363</v>
      </c>
      <c r="AQ89" s="19">
        <f t="shared" si="37"/>
        <v>0</v>
      </c>
      <c r="AR89" s="19">
        <f t="shared" si="52"/>
        <v>51.939124346631843</v>
      </c>
      <c r="AS89" s="23">
        <f t="shared" si="53"/>
        <v>982.31712434663189</v>
      </c>
    </row>
    <row r="90" spans="5:45">
      <c r="E90" s="35" t="str">
        <f t="shared" si="38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4"/>
        <v>2</v>
      </c>
      <c r="I90" s="19">
        <v>1.8</v>
      </c>
      <c r="J90" s="36">
        <f>'Flow Rate Calculations'!$B$7</f>
        <v>4.0831050228310497</v>
      </c>
      <c r="K90" s="36">
        <f t="shared" si="39"/>
        <v>1.6045588828318709</v>
      </c>
      <c r="L90" s="37">
        <f>$I90*$K90/'Calculation Constants'!$B$7</f>
        <v>2555934.503625989</v>
      </c>
      <c r="M90" s="37">
        <f t="shared" si="40"/>
        <v>180.34600000000012</v>
      </c>
      <c r="N90" s="23">
        <f t="shared" si="41"/>
        <v>100.25508039039926</v>
      </c>
      <c r="O90" s="57">
        <f t="shared" si="29"/>
        <v>180.34600000000012</v>
      </c>
      <c r="P90" s="66">
        <f>MAX(I90*1000/'Calculation Constants'!$B$14,O90*10*I90*1000/2/('Calculation Constants'!$B$12*1000*'Calculation Constants'!$B$13))</f>
        <v>11.25</v>
      </c>
      <c r="Q90" s="68">
        <f t="shared" si="30"/>
        <v>992548.40161508287</v>
      </c>
      <c r="R90" s="27">
        <f>(1/(2*LOG(3.7*$I90/'Calculation Constants'!$B$2*1000)))^2</f>
        <v>8.7463077071963571E-3</v>
      </c>
      <c r="S90" s="19">
        <f t="shared" si="42"/>
        <v>1.2752477269849725</v>
      </c>
      <c r="T90" s="19">
        <f>IF($H90&gt;0,'Calculation Constants'!$B$9*Hydraulics!$K90^2/2/9.81/MAX($F$4:$F$253)*$H90,"")</f>
        <v>7.8734226558858159E-2</v>
      </c>
      <c r="U90" s="19">
        <f t="shared" si="43"/>
        <v>1.3539819535438307</v>
      </c>
      <c r="V90" s="19">
        <f t="shared" si="31"/>
        <v>0</v>
      </c>
      <c r="W90" s="19">
        <f t="shared" si="32"/>
        <v>100.25508039039926</v>
      </c>
      <c r="X90" s="23">
        <f t="shared" si="44"/>
        <v>1031.5790803903992</v>
      </c>
      <c r="Y90" s="22">
        <f>(1/(2*LOG(3.7*$I90/'Calculation Constants'!$B$3*1000)))^2</f>
        <v>9.8211436332891755E-3</v>
      </c>
      <c r="Z90" s="19">
        <f t="shared" si="33"/>
        <v>1.431963236834217</v>
      </c>
      <c r="AA90" s="19">
        <f>IF($H90&gt;0,'Calculation Constants'!$B$9*Hydraulics!$K90^2/2/9.81/MAX($F$4:$F$253)*$H90,"")</f>
        <v>7.8734226558858159E-2</v>
      </c>
      <c r="AB90" s="19">
        <f t="shared" si="55"/>
        <v>1.5106974633930752</v>
      </c>
      <c r="AC90" s="19">
        <f t="shared" si="34"/>
        <v>0</v>
      </c>
      <c r="AD90" s="19">
        <f t="shared" si="45"/>
        <v>91.05586752631632</v>
      </c>
      <c r="AE90" s="23">
        <f t="shared" si="46"/>
        <v>1022.3798675263163</v>
      </c>
      <c r="AF90" s="27">
        <f>(1/(2*LOG(3.7*$I90/'Calculation Constants'!$B$4*1000)))^2</f>
        <v>1.1575055557914658E-2</v>
      </c>
      <c r="AG90" s="19">
        <f t="shared" si="35"/>
        <v>1.6876908272744866</v>
      </c>
      <c r="AH90" s="19">
        <f>IF($H90&gt;0,'Calculation Constants'!$B$9*Hydraulics!$K90^2/2/9.81/MAX($F$4:$F$253)*$H90,"")</f>
        <v>7.8734226558858159E-2</v>
      </c>
      <c r="AI90" s="19">
        <f t="shared" si="47"/>
        <v>1.7664250538333448</v>
      </c>
      <c r="AJ90" s="19">
        <f t="shared" si="36"/>
        <v>0</v>
      </c>
      <c r="AK90" s="19">
        <f t="shared" si="48"/>
        <v>76.057980318808859</v>
      </c>
      <c r="AL90" s="23">
        <f t="shared" si="49"/>
        <v>1007.3819803188088</v>
      </c>
      <c r="AM90" s="22">
        <f>(1/(2*LOG(3.7*($I90-0.008)/'Calculation Constants'!$B$5*1000)))^2</f>
        <v>1.4709705891825043E-2</v>
      </c>
      <c r="AN90" s="19">
        <f t="shared" si="50"/>
        <v>2.1543104841910781</v>
      </c>
      <c r="AO90" s="19">
        <f>IF($H90&gt;0,'Calculation Constants'!$B$9*Hydraulics!$K90^2/2/9.81/MAX($F$4:$F$253)*$H90,"")</f>
        <v>7.8734226558858159E-2</v>
      </c>
      <c r="AP90" s="19">
        <f t="shared" si="51"/>
        <v>2.2330447107499363</v>
      </c>
      <c r="AQ90" s="19">
        <f t="shared" si="37"/>
        <v>0</v>
      </c>
      <c r="AR90" s="19">
        <f t="shared" si="52"/>
        <v>48.760079635881993</v>
      </c>
      <c r="AS90" s="23">
        <f t="shared" si="53"/>
        <v>980.08407963588195</v>
      </c>
    </row>
    <row r="91" spans="5:45">
      <c r="E91" s="35" t="str">
        <f t="shared" si="38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4"/>
        <v>2</v>
      </c>
      <c r="I91" s="19">
        <v>1.8</v>
      </c>
      <c r="J91" s="36">
        <f>'Flow Rate Calculations'!$B$7</f>
        <v>4.0831050228310497</v>
      </c>
      <c r="K91" s="36">
        <f t="shared" si="39"/>
        <v>1.6045588828318709</v>
      </c>
      <c r="L91" s="37">
        <f>$I91*$K91/'Calculation Constants'!$B$7</f>
        <v>2555934.503625989</v>
      </c>
      <c r="M91" s="37">
        <f t="shared" si="40"/>
        <v>178.1400000000001</v>
      </c>
      <c r="N91" s="23">
        <f t="shared" si="41"/>
        <v>96.69509843685546</v>
      </c>
      <c r="O91" s="57">
        <f t="shared" si="29"/>
        <v>178.1400000000001</v>
      </c>
      <c r="P91" s="66">
        <f>MAX(I91*1000/'Calculation Constants'!$B$14,O91*10*I91*1000/2/('Calculation Constants'!$B$12*1000*'Calculation Constants'!$B$13))</f>
        <v>11.25</v>
      </c>
      <c r="Q91" s="68">
        <f t="shared" si="30"/>
        <v>992548.40161508287</v>
      </c>
      <c r="R91" s="27">
        <f>(1/(2*LOG(3.7*$I91/'Calculation Constants'!$B$2*1000)))^2</f>
        <v>8.7463077071963571E-3</v>
      </c>
      <c r="S91" s="19">
        <f t="shared" si="42"/>
        <v>1.2752477269849725</v>
      </c>
      <c r="T91" s="19">
        <f>IF($H91&gt;0,'Calculation Constants'!$B$9*Hydraulics!$K91^2/2/9.81/MAX($F$4:$F$253)*$H91,"")</f>
        <v>7.8734226558858159E-2</v>
      </c>
      <c r="U91" s="19">
        <f t="shared" si="43"/>
        <v>1.3539819535438307</v>
      </c>
      <c r="V91" s="19">
        <f t="shared" si="31"/>
        <v>0</v>
      </c>
      <c r="W91" s="19">
        <f t="shared" si="32"/>
        <v>96.69509843685546</v>
      </c>
      <c r="X91" s="23">
        <f t="shared" si="44"/>
        <v>1030.2250984368554</v>
      </c>
      <c r="Y91" s="22">
        <f>(1/(2*LOG(3.7*$I91/'Calculation Constants'!$B$3*1000)))^2</f>
        <v>9.8211436332891755E-3</v>
      </c>
      <c r="Z91" s="19">
        <f t="shared" si="33"/>
        <v>1.431963236834217</v>
      </c>
      <c r="AA91" s="19">
        <f>IF($H91&gt;0,'Calculation Constants'!$B$9*Hydraulics!$K91^2/2/9.81/MAX($F$4:$F$253)*$H91,"")</f>
        <v>7.8734226558858159E-2</v>
      </c>
      <c r="AB91" s="19">
        <f t="shared" si="55"/>
        <v>1.5106974633930752</v>
      </c>
      <c r="AC91" s="19">
        <f t="shared" si="34"/>
        <v>0</v>
      </c>
      <c r="AD91" s="19">
        <f t="shared" si="45"/>
        <v>87.339170062923245</v>
      </c>
      <c r="AE91" s="23">
        <f t="shared" si="46"/>
        <v>1020.8691700629232</v>
      </c>
      <c r="AF91" s="27">
        <f>(1/(2*LOG(3.7*$I91/'Calculation Constants'!$B$4*1000)))^2</f>
        <v>1.1575055557914658E-2</v>
      </c>
      <c r="AG91" s="19">
        <f t="shared" si="35"/>
        <v>1.6876908272744866</v>
      </c>
      <c r="AH91" s="19">
        <f>IF($H91&gt;0,'Calculation Constants'!$B$9*Hydraulics!$K91^2/2/9.81/MAX($F$4:$F$253)*$H91,"")</f>
        <v>7.8734226558858159E-2</v>
      </c>
      <c r="AI91" s="19">
        <f t="shared" si="47"/>
        <v>1.7664250538333448</v>
      </c>
      <c r="AJ91" s="19">
        <f t="shared" si="36"/>
        <v>0</v>
      </c>
      <c r="AK91" s="19">
        <f t="shared" si="48"/>
        <v>72.085555264975483</v>
      </c>
      <c r="AL91" s="23">
        <f t="shared" si="49"/>
        <v>1005.6155552649755</v>
      </c>
      <c r="AM91" s="22">
        <f>(1/(2*LOG(3.7*($I91-0.008)/'Calculation Constants'!$B$5*1000)))^2</f>
        <v>1.4709705891825043E-2</v>
      </c>
      <c r="AN91" s="19">
        <f t="shared" si="50"/>
        <v>2.1543104841910781</v>
      </c>
      <c r="AO91" s="19">
        <f>IF($H91&gt;0,'Calculation Constants'!$B$9*Hydraulics!$K91^2/2/9.81/MAX($F$4:$F$253)*$H91,"")</f>
        <v>7.8734226558858159E-2</v>
      </c>
      <c r="AP91" s="19">
        <f t="shared" si="51"/>
        <v>2.2330447107499363</v>
      </c>
      <c r="AQ91" s="19">
        <f t="shared" si="37"/>
        <v>0</v>
      </c>
      <c r="AR91" s="19">
        <f t="shared" si="52"/>
        <v>44.321034925132039</v>
      </c>
      <c r="AS91" s="23">
        <f t="shared" si="53"/>
        <v>977.85103492513201</v>
      </c>
    </row>
    <row r="92" spans="5:45">
      <c r="E92" s="35" t="str">
        <f t="shared" si="38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4"/>
        <v>2</v>
      </c>
      <c r="I92" s="19">
        <v>1.8</v>
      </c>
      <c r="J92" s="36">
        <f>'Flow Rate Calculations'!$B$7</f>
        <v>4.0831050228310497</v>
      </c>
      <c r="K92" s="36">
        <f t="shared" si="39"/>
        <v>1.6045588828318709</v>
      </c>
      <c r="L92" s="37">
        <f>$I92*$K92/'Calculation Constants'!$B$7</f>
        <v>2555934.503625989</v>
      </c>
      <c r="M92" s="37">
        <f t="shared" si="40"/>
        <v>178.95600000000002</v>
      </c>
      <c r="N92" s="23">
        <f t="shared" si="41"/>
        <v>96.157116483311597</v>
      </c>
      <c r="O92" s="57">
        <f t="shared" si="29"/>
        <v>178.95600000000002</v>
      </c>
      <c r="P92" s="66">
        <f>MAX(I92*1000/'Calculation Constants'!$B$14,O92*10*I92*1000/2/('Calculation Constants'!$B$12*1000*'Calculation Constants'!$B$13))</f>
        <v>11.25</v>
      </c>
      <c r="Q92" s="68">
        <f t="shared" si="30"/>
        <v>992548.40161508287</v>
      </c>
      <c r="R92" s="27">
        <f>(1/(2*LOG(3.7*$I92/'Calculation Constants'!$B$2*1000)))^2</f>
        <v>8.7463077071963571E-3</v>
      </c>
      <c r="S92" s="19">
        <f t="shared" si="42"/>
        <v>1.2752477269849725</v>
      </c>
      <c r="T92" s="19">
        <f>IF($H92&gt;0,'Calculation Constants'!$B$9*Hydraulics!$K92^2/2/9.81/MAX($F$4:$F$253)*$H92,"")</f>
        <v>7.8734226558858159E-2</v>
      </c>
      <c r="U92" s="19">
        <f t="shared" si="43"/>
        <v>1.3539819535438307</v>
      </c>
      <c r="V92" s="19">
        <f t="shared" si="31"/>
        <v>0</v>
      </c>
      <c r="W92" s="19">
        <f t="shared" si="32"/>
        <v>96.157116483311597</v>
      </c>
      <c r="X92" s="23">
        <f t="shared" si="44"/>
        <v>1028.8711164833117</v>
      </c>
      <c r="Y92" s="22">
        <f>(1/(2*LOG(3.7*$I92/'Calculation Constants'!$B$3*1000)))^2</f>
        <v>9.8211436332891755E-3</v>
      </c>
      <c r="Z92" s="19">
        <f t="shared" si="33"/>
        <v>1.431963236834217</v>
      </c>
      <c r="AA92" s="19">
        <f>IF($H92&gt;0,'Calculation Constants'!$B$9*Hydraulics!$K92^2/2/9.81/MAX($F$4:$F$253)*$H92,"")</f>
        <v>7.8734226558858159E-2</v>
      </c>
      <c r="AB92" s="19">
        <f t="shared" si="55"/>
        <v>1.5106974633930752</v>
      </c>
      <c r="AC92" s="19">
        <f t="shared" si="34"/>
        <v>0</v>
      </c>
      <c r="AD92" s="19">
        <f t="shared" si="45"/>
        <v>86.644472599530104</v>
      </c>
      <c r="AE92" s="23">
        <f t="shared" si="46"/>
        <v>1019.3584725995302</v>
      </c>
      <c r="AF92" s="27">
        <f>(1/(2*LOG(3.7*$I92/'Calculation Constants'!$B$4*1000)))^2</f>
        <v>1.1575055557914658E-2</v>
      </c>
      <c r="AG92" s="19">
        <f t="shared" si="35"/>
        <v>1.6876908272744866</v>
      </c>
      <c r="AH92" s="19">
        <f>IF($H92&gt;0,'Calculation Constants'!$B$9*Hydraulics!$K92^2/2/9.81/MAX($F$4:$F$253)*$H92,"")</f>
        <v>7.8734226558858159E-2</v>
      </c>
      <c r="AI92" s="19">
        <f t="shared" si="47"/>
        <v>1.7664250538333448</v>
      </c>
      <c r="AJ92" s="19">
        <f t="shared" si="36"/>
        <v>0</v>
      </c>
      <c r="AK92" s="19">
        <f t="shared" si="48"/>
        <v>71.135130211142041</v>
      </c>
      <c r="AL92" s="23">
        <f t="shared" si="49"/>
        <v>1003.8491302111421</v>
      </c>
      <c r="AM92" s="22">
        <f>(1/(2*LOG(3.7*($I92-0.008)/'Calculation Constants'!$B$5*1000)))^2</f>
        <v>1.4709705891825043E-2</v>
      </c>
      <c r="AN92" s="19">
        <f t="shared" si="50"/>
        <v>2.1543104841910781</v>
      </c>
      <c r="AO92" s="19">
        <f>IF($H92&gt;0,'Calculation Constants'!$B$9*Hydraulics!$K92^2/2/9.81/MAX($F$4:$F$253)*$H92,"")</f>
        <v>7.8734226558858159E-2</v>
      </c>
      <c r="AP92" s="19">
        <f t="shared" si="51"/>
        <v>2.2330447107499363</v>
      </c>
      <c r="AQ92" s="19">
        <f t="shared" si="37"/>
        <v>0</v>
      </c>
      <c r="AR92" s="19">
        <f t="shared" si="52"/>
        <v>42.90399021438202</v>
      </c>
      <c r="AS92" s="23">
        <f t="shared" si="53"/>
        <v>975.61799021438208</v>
      </c>
    </row>
    <row r="93" spans="5:45">
      <c r="E93" s="35" t="str">
        <f t="shared" si="38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4"/>
        <v>2</v>
      </c>
      <c r="I93" s="19">
        <v>1.8</v>
      </c>
      <c r="J93" s="36">
        <f>'Flow Rate Calculations'!$B$7</f>
        <v>4.0831050228310497</v>
      </c>
      <c r="K93" s="36">
        <f t="shared" si="39"/>
        <v>1.6045588828318709</v>
      </c>
      <c r="L93" s="37">
        <f>$I93*$K93/'Calculation Constants'!$B$7</f>
        <v>2555934.503625989</v>
      </c>
      <c r="M93" s="37">
        <f t="shared" si="40"/>
        <v>183.35900000000004</v>
      </c>
      <c r="N93" s="23">
        <f t="shared" si="41"/>
        <v>99.206134529767837</v>
      </c>
      <c r="O93" s="57">
        <f t="shared" si="29"/>
        <v>183.35900000000004</v>
      </c>
      <c r="P93" s="66">
        <f>MAX(I93*1000/'Calculation Constants'!$B$14,O93*10*I93*1000/2/('Calculation Constants'!$B$12*1000*'Calculation Constants'!$B$13))</f>
        <v>11.25</v>
      </c>
      <c r="Q93" s="68">
        <f t="shared" si="30"/>
        <v>992548.40161508287</v>
      </c>
      <c r="R93" s="27">
        <f>(1/(2*LOG(3.7*$I93/'Calculation Constants'!$B$2*1000)))^2</f>
        <v>8.7463077071963571E-3</v>
      </c>
      <c r="S93" s="19">
        <f t="shared" si="42"/>
        <v>1.2752477269849725</v>
      </c>
      <c r="T93" s="19">
        <f>IF($H93&gt;0,'Calculation Constants'!$B$9*Hydraulics!$K93^2/2/9.81/MAX($F$4:$F$253)*$H93,"")</f>
        <v>7.8734226558858159E-2</v>
      </c>
      <c r="U93" s="19">
        <f t="shared" si="43"/>
        <v>1.3539819535438307</v>
      </c>
      <c r="V93" s="19">
        <f t="shared" si="31"/>
        <v>0</v>
      </c>
      <c r="W93" s="19">
        <f t="shared" si="32"/>
        <v>99.206134529767837</v>
      </c>
      <c r="X93" s="23">
        <f t="shared" si="44"/>
        <v>1027.5171345297679</v>
      </c>
      <c r="Y93" s="22">
        <f>(1/(2*LOG(3.7*$I93/'Calculation Constants'!$B$3*1000)))^2</f>
        <v>9.8211436332891755E-3</v>
      </c>
      <c r="Z93" s="19">
        <f t="shared" si="33"/>
        <v>1.431963236834217</v>
      </c>
      <c r="AA93" s="19">
        <f>IF($H93&gt;0,'Calculation Constants'!$B$9*Hydraulics!$K93^2/2/9.81/MAX($F$4:$F$253)*$H93,"")</f>
        <v>7.8734226558858159E-2</v>
      </c>
      <c r="AB93" s="19">
        <f t="shared" si="55"/>
        <v>1.5106974633930752</v>
      </c>
      <c r="AC93" s="19">
        <f t="shared" si="34"/>
        <v>0</v>
      </c>
      <c r="AD93" s="19">
        <f t="shared" si="45"/>
        <v>89.536775136137067</v>
      </c>
      <c r="AE93" s="23">
        <f t="shared" si="46"/>
        <v>1017.8477751361371</v>
      </c>
      <c r="AF93" s="27">
        <f>(1/(2*LOG(3.7*$I93/'Calculation Constants'!$B$4*1000)))^2</f>
        <v>1.1575055557914658E-2</v>
      </c>
      <c r="AG93" s="19">
        <f t="shared" si="35"/>
        <v>1.6876908272744866</v>
      </c>
      <c r="AH93" s="19">
        <f>IF($H93&gt;0,'Calculation Constants'!$B$9*Hydraulics!$K93^2/2/9.81/MAX($F$4:$F$253)*$H93,"")</f>
        <v>7.8734226558858159E-2</v>
      </c>
      <c r="AI93" s="19">
        <f t="shared" si="47"/>
        <v>1.7664250538333448</v>
      </c>
      <c r="AJ93" s="19">
        <f t="shared" si="36"/>
        <v>0</v>
      </c>
      <c r="AK93" s="19">
        <f t="shared" si="48"/>
        <v>73.771705157308702</v>
      </c>
      <c r="AL93" s="23">
        <f t="shared" si="49"/>
        <v>1002.0827051573087</v>
      </c>
      <c r="AM93" s="22">
        <f>(1/(2*LOG(3.7*($I93-0.008)/'Calculation Constants'!$B$5*1000)))^2</f>
        <v>1.4709705891825043E-2</v>
      </c>
      <c r="AN93" s="19">
        <f t="shared" si="50"/>
        <v>2.1543104841910781</v>
      </c>
      <c r="AO93" s="19">
        <f>IF($H93&gt;0,'Calculation Constants'!$B$9*Hydraulics!$K93^2/2/9.81/MAX($F$4:$F$253)*$H93,"")</f>
        <v>7.8734226558858159E-2</v>
      </c>
      <c r="AP93" s="19">
        <f t="shared" si="51"/>
        <v>2.2330447107499363</v>
      </c>
      <c r="AQ93" s="19">
        <f t="shared" si="37"/>
        <v>0</v>
      </c>
      <c r="AR93" s="19">
        <f t="shared" si="52"/>
        <v>45.073945503632103</v>
      </c>
      <c r="AS93" s="23">
        <f t="shared" si="53"/>
        <v>973.38494550363214</v>
      </c>
    </row>
    <row r="94" spans="5:45">
      <c r="E94" s="35" t="str">
        <f t="shared" si="38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4"/>
        <v>2</v>
      </c>
      <c r="I94" s="19">
        <v>1.8</v>
      </c>
      <c r="J94" s="36">
        <f>'Flow Rate Calculations'!$B$7</f>
        <v>4.0831050228310497</v>
      </c>
      <c r="K94" s="36">
        <f t="shared" si="39"/>
        <v>1.6045588828318709</v>
      </c>
      <c r="L94" s="37">
        <f>$I94*$K94/'Calculation Constants'!$B$7</f>
        <v>2555934.503625989</v>
      </c>
      <c r="M94" s="37">
        <f t="shared" si="40"/>
        <v>187.4910000000001</v>
      </c>
      <c r="N94" s="23">
        <f t="shared" si="41"/>
        <v>101.98415257622412</v>
      </c>
      <c r="O94" s="57">
        <f t="shared" si="29"/>
        <v>187.4910000000001</v>
      </c>
      <c r="P94" s="66">
        <f>MAX(I94*1000/'Calculation Constants'!$B$14,O94*10*I94*1000/2/('Calculation Constants'!$B$12*1000*'Calculation Constants'!$B$13))</f>
        <v>11.25</v>
      </c>
      <c r="Q94" s="68">
        <f t="shared" si="30"/>
        <v>992548.40161508287</v>
      </c>
      <c r="R94" s="27">
        <f>(1/(2*LOG(3.7*$I94/'Calculation Constants'!$B$2*1000)))^2</f>
        <v>8.7463077071963571E-3</v>
      </c>
      <c r="S94" s="19">
        <f t="shared" si="42"/>
        <v>1.2752477269849725</v>
      </c>
      <c r="T94" s="19">
        <f>IF($H94&gt;0,'Calculation Constants'!$B$9*Hydraulics!$K94^2/2/9.81/MAX($F$4:$F$253)*$H94,"")</f>
        <v>7.8734226558858159E-2</v>
      </c>
      <c r="U94" s="19">
        <f t="shared" si="43"/>
        <v>1.3539819535438307</v>
      </c>
      <c r="V94" s="19">
        <f t="shared" si="31"/>
        <v>0</v>
      </c>
      <c r="W94" s="19">
        <f t="shared" si="32"/>
        <v>101.98415257622412</v>
      </c>
      <c r="X94" s="23">
        <f t="shared" si="44"/>
        <v>1026.1631525762241</v>
      </c>
      <c r="Y94" s="22">
        <f>(1/(2*LOG(3.7*$I94/'Calculation Constants'!$B$3*1000)))^2</f>
        <v>9.8211436332891755E-3</v>
      </c>
      <c r="Z94" s="19">
        <f t="shared" si="33"/>
        <v>1.431963236834217</v>
      </c>
      <c r="AA94" s="19">
        <f>IF($H94&gt;0,'Calculation Constants'!$B$9*Hydraulics!$K94^2/2/9.81/MAX($F$4:$F$253)*$H94,"")</f>
        <v>7.8734226558858159E-2</v>
      </c>
      <c r="AB94" s="19">
        <f t="shared" si="55"/>
        <v>1.5106974633930752</v>
      </c>
      <c r="AC94" s="19">
        <f t="shared" si="34"/>
        <v>0</v>
      </c>
      <c r="AD94" s="19">
        <f t="shared" si="45"/>
        <v>92.158077672744071</v>
      </c>
      <c r="AE94" s="23">
        <f t="shared" si="46"/>
        <v>1016.337077672744</v>
      </c>
      <c r="AF94" s="27">
        <f>(1/(2*LOG(3.7*$I94/'Calculation Constants'!$B$4*1000)))^2</f>
        <v>1.1575055557914658E-2</v>
      </c>
      <c r="AG94" s="19">
        <f t="shared" si="35"/>
        <v>1.6876908272744866</v>
      </c>
      <c r="AH94" s="19">
        <f>IF($H94&gt;0,'Calculation Constants'!$B$9*Hydraulics!$K94^2/2/9.81/MAX($F$4:$F$253)*$H94,"")</f>
        <v>7.8734226558858159E-2</v>
      </c>
      <c r="AI94" s="19">
        <f t="shared" si="47"/>
        <v>1.7664250538333448</v>
      </c>
      <c r="AJ94" s="19">
        <f t="shared" si="36"/>
        <v>0</v>
      </c>
      <c r="AK94" s="19">
        <f t="shared" si="48"/>
        <v>76.137280103475405</v>
      </c>
      <c r="AL94" s="23">
        <f t="shared" si="49"/>
        <v>1000.3162801034754</v>
      </c>
      <c r="AM94" s="22">
        <f>(1/(2*LOG(3.7*($I94-0.008)/'Calculation Constants'!$B$5*1000)))^2</f>
        <v>1.4709705891825043E-2</v>
      </c>
      <c r="AN94" s="19">
        <f t="shared" si="50"/>
        <v>2.1543104841910781</v>
      </c>
      <c r="AO94" s="19">
        <f>IF($H94&gt;0,'Calculation Constants'!$B$9*Hydraulics!$K94^2/2/9.81/MAX($F$4:$F$253)*$H94,"")</f>
        <v>7.8734226558858159E-2</v>
      </c>
      <c r="AP94" s="19">
        <f t="shared" si="51"/>
        <v>2.2330447107499363</v>
      </c>
      <c r="AQ94" s="19">
        <f t="shared" si="37"/>
        <v>0</v>
      </c>
      <c r="AR94" s="19">
        <f t="shared" si="52"/>
        <v>46.972900792882228</v>
      </c>
      <c r="AS94" s="23">
        <f t="shared" si="53"/>
        <v>971.1519007928822</v>
      </c>
    </row>
    <row r="95" spans="5:45">
      <c r="E95" s="35" t="str">
        <f t="shared" si="38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4"/>
        <v>2</v>
      </c>
      <c r="I95" s="19">
        <v>1.8</v>
      </c>
      <c r="J95" s="36">
        <f>'Flow Rate Calculations'!$B$7</f>
        <v>4.0831050228310497</v>
      </c>
      <c r="K95" s="36">
        <f t="shared" si="39"/>
        <v>1.6045588828318709</v>
      </c>
      <c r="L95" s="37">
        <f>$I95*$K95/'Calculation Constants'!$B$7</f>
        <v>2555934.503625989</v>
      </c>
      <c r="M95" s="37">
        <f t="shared" si="40"/>
        <v>183.27200000000005</v>
      </c>
      <c r="N95" s="23">
        <f t="shared" si="41"/>
        <v>96.411170622680288</v>
      </c>
      <c r="O95" s="57">
        <f t="shared" si="29"/>
        <v>183.27200000000005</v>
      </c>
      <c r="P95" s="66">
        <f>MAX(I95*1000/'Calculation Constants'!$B$14,O95*10*I95*1000/2/('Calculation Constants'!$B$12*1000*'Calculation Constants'!$B$13))</f>
        <v>11.25</v>
      </c>
      <c r="Q95" s="68">
        <f t="shared" si="30"/>
        <v>992548.40161508287</v>
      </c>
      <c r="R95" s="27">
        <f>(1/(2*LOG(3.7*$I95/'Calculation Constants'!$B$2*1000)))^2</f>
        <v>8.7463077071963571E-3</v>
      </c>
      <c r="S95" s="19">
        <f t="shared" si="42"/>
        <v>1.2752477269849725</v>
      </c>
      <c r="T95" s="19">
        <f>IF($H95&gt;0,'Calculation Constants'!$B$9*Hydraulics!$K95^2/2/9.81/MAX($F$4:$F$253)*$H95,"")</f>
        <v>7.8734226558858159E-2</v>
      </c>
      <c r="U95" s="19">
        <f t="shared" si="43"/>
        <v>1.3539819535438307</v>
      </c>
      <c r="V95" s="19">
        <f t="shared" si="31"/>
        <v>0</v>
      </c>
      <c r="W95" s="19">
        <f t="shared" si="32"/>
        <v>96.411170622680288</v>
      </c>
      <c r="X95" s="23">
        <f t="shared" si="44"/>
        <v>1024.8091706226803</v>
      </c>
      <c r="Y95" s="22">
        <f>(1/(2*LOG(3.7*$I95/'Calculation Constants'!$B$3*1000)))^2</f>
        <v>9.8211436332891755E-3</v>
      </c>
      <c r="Z95" s="19">
        <f t="shared" si="33"/>
        <v>1.431963236834217</v>
      </c>
      <c r="AA95" s="19">
        <f>IF($H95&gt;0,'Calculation Constants'!$B$9*Hydraulics!$K95^2/2/9.81/MAX($F$4:$F$253)*$H95,"")</f>
        <v>7.8734226558858159E-2</v>
      </c>
      <c r="AB95" s="19">
        <f t="shared" si="55"/>
        <v>1.5106974633930752</v>
      </c>
      <c r="AC95" s="19">
        <f t="shared" si="34"/>
        <v>0</v>
      </c>
      <c r="AD95" s="19">
        <f t="shared" si="45"/>
        <v>86.428380209350962</v>
      </c>
      <c r="AE95" s="23">
        <f t="shared" si="46"/>
        <v>1014.826380209351</v>
      </c>
      <c r="AF95" s="27">
        <f>(1/(2*LOG(3.7*$I95/'Calculation Constants'!$B$4*1000)))^2</f>
        <v>1.1575055557914658E-2</v>
      </c>
      <c r="AG95" s="19">
        <f t="shared" si="35"/>
        <v>1.6876908272744866</v>
      </c>
      <c r="AH95" s="19">
        <f>IF($H95&gt;0,'Calculation Constants'!$B$9*Hydraulics!$K95^2/2/9.81/MAX($F$4:$F$253)*$H95,"")</f>
        <v>7.8734226558858159E-2</v>
      </c>
      <c r="AI95" s="19">
        <f t="shared" si="47"/>
        <v>1.7664250538333448</v>
      </c>
      <c r="AJ95" s="19">
        <f t="shared" si="36"/>
        <v>0</v>
      </c>
      <c r="AK95" s="19">
        <f t="shared" si="48"/>
        <v>70.151855049641995</v>
      </c>
      <c r="AL95" s="23">
        <f t="shared" si="49"/>
        <v>998.54985504964202</v>
      </c>
      <c r="AM95" s="22">
        <f>(1/(2*LOG(3.7*($I95-0.008)/'Calculation Constants'!$B$5*1000)))^2</f>
        <v>1.4709705891825043E-2</v>
      </c>
      <c r="AN95" s="19">
        <f t="shared" si="50"/>
        <v>2.1543104841910781</v>
      </c>
      <c r="AO95" s="19">
        <f>IF($H95&gt;0,'Calculation Constants'!$B$9*Hydraulics!$K95^2/2/9.81/MAX($F$4:$F$253)*$H95,"")</f>
        <v>7.8734226558858159E-2</v>
      </c>
      <c r="AP95" s="19">
        <f t="shared" si="51"/>
        <v>2.2330447107499363</v>
      </c>
      <c r="AQ95" s="19">
        <f t="shared" si="37"/>
        <v>0</v>
      </c>
      <c r="AR95" s="19">
        <f t="shared" si="52"/>
        <v>40.520856082132241</v>
      </c>
      <c r="AS95" s="23">
        <f t="shared" si="53"/>
        <v>968.91885608213227</v>
      </c>
    </row>
    <row r="96" spans="5:45">
      <c r="E96" s="35" t="str">
        <f t="shared" si="38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4"/>
        <v>2</v>
      </c>
      <c r="I96" s="19">
        <v>1.8</v>
      </c>
      <c r="J96" s="36">
        <f>'Flow Rate Calculations'!$B$7</f>
        <v>4.0831050228310497</v>
      </c>
      <c r="K96" s="36">
        <f t="shared" si="39"/>
        <v>1.6045588828318709</v>
      </c>
      <c r="L96" s="37">
        <f>$I96*$K96/'Calculation Constants'!$B$7</f>
        <v>2555934.503625989</v>
      </c>
      <c r="M96" s="37">
        <f t="shared" si="40"/>
        <v>180.80400000000009</v>
      </c>
      <c r="N96" s="23">
        <f t="shared" si="41"/>
        <v>92.589188669136547</v>
      </c>
      <c r="O96" s="57">
        <f t="shared" si="29"/>
        <v>180.80400000000009</v>
      </c>
      <c r="P96" s="66">
        <f>MAX(I96*1000/'Calculation Constants'!$B$14,O96*10*I96*1000/2/('Calculation Constants'!$B$12*1000*'Calculation Constants'!$B$13))</f>
        <v>11.25</v>
      </c>
      <c r="Q96" s="68">
        <f t="shared" si="30"/>
        <v>992548.40161508287</v>
      </c>
      <c r="R96" s="27">
        <f>(1/(2*LOG(3.7*$I96/'Calculation Constants'!$B$2*1000)))^2</f>
        <v>8.7463077071963571E-3</v>
      </c>
      <c r="S96" s="19">
        <f t="shared" si="42"/>
        <v>1.2752477269849725</v>
      </c>
      <c r="T96" s="19">
        <f>IF($H96&gt;0,'Calculation Constants'!$B$9*Hydraulics!$K96^2/2/9.81/MAX($F$4:$F$253)*$H96,"")</f>
        <v>7.8734226558858159E-2</v>
      </c>
      <c r="U96" s="19">
        <f t="shared" si="43"/>
        <v>1.3539819535438307</v>
      </c>
      <c r="V96" s="19">
        <f t="shared" si="31"/>
        <v>0</v>
      </c>
      <c r="W96" s="19">
        <f t="shared" si="32"/>
        <v>92.589188669136547</v>
      </c>
      <c r="X96" s="23">
        <f t="shared" si="44"/>
        <v>1023.4551886691365</v>
      </c>
      <c r="Y96" s="22">
        <f>(1/(2*LOG(3.7*$I96/'Calculation Constants'!$B$3*1000)))^2</f>
        <v>9.8211436332891755E-3</v>
      </c>
      <c r="Z96" s="19">
        <f t="shared" si="33"/>
        <v>1.431963236834217</v>
      </c>
      <c r="AA96" s="19">
        <f>IF($H96&gt;0,'Calculation Constants'!$B$9*Hydraulics!$K96^2/2/9.81/MAX($F$4:$F$253)*$H96,"")</f>
        <v>7.8734226558858159E-2</v>
      </c>
      <c r="AB96" s="19">
        <f t="shared" si="55"/>
        <v>1.5106974633930752</v>
      </c>
      <c r="AC96" s="19">
        <f t="shared" si="34"/>
        <v>0</v>
      </c>
      <c r="AD96" s="19">
        <f t="shared" si="45"/>
        <v>82.449682745957944</v>
      </c>
      <c r="AE96" s="23">
        <f t="shared" si="46"/>
        <v>1013.3156827459579</v>
      </c>
      <c r="AF96" s="27">
        <f>(1/(2*LOG(3.7*$I96/'Calculation Constants'!$B$4*1000)))^2</f>
        <v>1.1575055557914658E-2</v>
      </c>
      <c r="AG96" s="19">
        <f t="shared" si="35"/>
        <v>1.6876908272744866</v>
      </c>
      <c r="AH96" s="19">
        <f>IF($H96&gt;0,'Calculation Constants'!$B$9*Hydraulics!$K96^2/2/9.81/MAX($F$4:$F$253)*$H96,"")</f>
        <v>7.8734226558858159E-2</v>
      </c>
      <c r="AI96" s="19">
        <f t="shared" si="47"/>
        <v>1.7664250538333448</v>
      </c>
      <c r="AJ96" s="19">
        <f t="shared" si="36"/>
        <v>0</v>
      </c>
      <c r="AK96" s="19">
        <f t="shared" si="48"/>
        <v>65.917429995808675</v>
      </c>
      <c r="AL96" s="23">
        <f t="shared" si="49"/>
        <v>996.78342999580866</v>
      </c>
      <c r="AM96" s="22">
        <f>(1/(2*LOG(3.7*($I96-0.008)/'Calculation Constants'!$B$5*1000)))^2</f>
        <v>1.4709705891825043E-2</v>
      </c>
      <c r="AN96" s="19">
        <f t="shared" si="50"/>
        <v>2.1543104841910781</v>
      </c>
      <c r="AO96" s="19">
        <f>IF($H96&gt;0,'Calculation Constants'!$B$9*Hydraulics!$K96^2/2/9.81/MAX($F$4:$F$253)*$H96,"")</f>
        <v>7.8734226558858159E-2</v>
      </c>
      <c r="AP96" s="19">
        <f t="shared" si="51"/>
        <v>2.2330447107499363</v>
      </c>
      <c r="AQ96" s="19">
        <f t="shared" si="37"/>
        <v>0</v>
      </c>
      <c r="AR96" s="19">
        <f t="shared" si="52"/>
        <v>35.819811371382343</v>
      </c>
      <c r="AS96" s="23">
        <f t="shared" si="53"/>
        <v>966.68581137138233</v>
      </c>
    </row>
    <row r="97" spans="5:45">
      <c r="E97" s="35" t="str">
        <f t="shared" si="38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4"/>
        <v>2</v>
      </c>
      <c r="I97" s="19">
        <v>1.8</v>
      </c>
      <c r="J97" s="36">
        <f>'Flow Rate Calculations'!$B$7</f>
        <v>4.0831050228310497</v>
      </c>
      <c r="K97" s="36">
        <f t="shared" si="39"/>
        <v>1.6045588828318709</v>
      </c>
      <c r="L97" s="37">
        <f>$I97*$K97/'Calculation Constants'!$B$7</f>
        <v>2555934.503625989</v>
      </c>
      <c r="M97" s="37">
        <f t="shared" si="40"/>
        <v>183.25900000000013</v>
      </c>
      <c r="N97" s="23">
        <f t="shared" si="41"/>
        <v>93.690206715592808</v>
      </c>
      <c r="O97" s="57">
        <f t="shared" si="29"/>
        <v>183.25900000000013</v>
      </c>
      <c r="P97" s="66">
        <f>MAX(I97*1000/'Calculation Constants'!$B$14,O97*10*I97*1000/2/('Calculation Constants'!$B$12*1000*'Calculation Constants'!$B$13))</f>
        <v>11.25</v>
      </c>
      <c r="Q97" s="68">
        <f t="shared" si="30"/>
        <v>992548.40161508287</v>
      </c>
      <c r="R97" s="27">
        <f>(1/(2*LOG(3.7*$I97/'Calculation Constants'!$B$2*1000)))^2</f>
        <v>8.7463077071963571E-3</v>
      </c>
      <c r="S97" s="19">
        <f t="shared" si="42"/>
        <v>1.2752477269849725</v>
      </c>
      <c r="T97" s="19">
        <f>IF($H97&gt;0,'Calculation Constants'!$B$9*Hydraulics!$K97^2/2/9.81/MAX($F$4:$F$253)*$H97,"")</f>
        <v>7.8734226558858159E-2</v>
      </c>
      <c r="U97" s="19">
        <f t="shared" si="43"/>
        <v>1.3539819535438307</v>
      </c>
      <c r="V97" s="19">
        <f t="shared" si="31"/>
        <v>0</v>
      </c>
      <c r="W97" s="19">
        <f t="shared" si="32"/>
        <v>93.690206715592808</v>
      </c>
      <c r="X97" s="23">
        <f t="shared" si="44"/>
        <v>1022.1012067155928</v>
      </c>
      <c r="Y97" s="22">
        <f>(1/(2*LOG(3.7*$I97/'Calculation Constants'!$B$3*1000)))^2</f>
        <v>9.8211436332891755E-3</v>
      </c>
      <c r="Z97" s="19">
        <f t="shared" si="33"/>
        <v>1.431963236834217</v>
      </c>
      <c r="AA97" s="19">
        <f>IF($H97&gt;0,'Calculation Constants'!$B$9*Hydraulics!$K97^2/2/9.81/MAX($F$4:$F$253)*$H97,"")</f>
        <v>7.8734226558858159E-2</v>
      </c>
      <c r="AB97" s="19">
        <f t="shared" si="55"/>
        <v>1.5106974633930752</v>
      </c>
      <c r="AC97" s="19">
        <f t="shared" si="34"/>
        <v>0</v>
      </c>
      <c r="AD97" s="19">
        <f t="shared" si="45"/>
        <v>83.393985282564927</v>
      </c>
      <c r="AE97" s="23">
        <f t="shared" si="46"/>
        <v>1011.8049852825649</v>
      </c>
      <c r="AF97" s="27">
        <f>(1/(2*LOG(3.7*$I97/'Calculation Constants'!$B$4*1000)))^2</f>
        <v>1.1575055557914658E-2</v>
      </c>
      <c r="AG97" s="19">
        <f t="shared" si="35"/>
        <v>1.6876908272744866</v>
      </c>
      <c r="AH97" s="19">
        <f>IF($H97&gt;0,'Calculation Constants'!$B$9*Hydraulics!$K97^2/2/9.81/MAX($F$4:$F$253)*$H97,"")</f>
        <v>7.8734226558858159E-2</v>
      </c>
      <c r="AI97" s="19">
        <f t="shared" si="47"/>
        <v>1.7664250538333448</v>
      </c>
      <c r="AJ97" s="19">
        <f t="shared" si="36"/>
        <v>0</v>
      </c>
      <c r="AK97" s="19">
        <f t="shared" si="48"/>
        <v>66.606004941975357</v>
      </c>
      <c r="AL97" s="23">
        <f t="shared" si="49"/>
        <v>995.0170049419753</v>
      </c>
      <c r="AM97" s="22">
        <f>(1/(2*LOG(3.7*($I97-0.008)/'Calculation Constants'!$B$5*1000)))^2</f>
        <v>1.4709705891825043E-2</v>
      </c>
      <c r="AN97" s="19">
        <f t="shared" si="50"/>
        <v>2.1543104841910781</v>
      </c>
      <c r="AO97" s="19">
        <f>IF($H97&gt;0,'Calculation Constants'!$B$9*Hydraulics!$K97^2/2/9.81/MAX($F$4:$F$253)*$H97,"")</f>
        <v>7.8734226558858159E-2</v>
      </c>
      <c r="AP97" s="19">
        <f t="shared" si="51"/>
        <v>2.2330447107499363</v>
      </c>
      <c r="AQ97" s="19">
        <f t="shared" si="37"/>
        <v>0</v>
      </c>
      <c r="AR97" s="19">
        <f t="shared" si="52"/>
        <v>36.041766660632447</v>
      </c>
      <c r="AS97" s="23">
        <f t="shared" si="53"/>
        <v>964.45276666063239</v>
      </c>
    </row>
    <row r="98" spans="5:45">
      <c r="E98" s="35" t="str">
        <f t="shared" si="38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4"/>
        <v>2</v>
      </c>
      <c r="I98" s="19">
        <v>1.8</v>
      </c>
      <c r="J98" s="36">
        <f>'Flow Rate Calculations'!$B$7</f>
        <v>4.0831050228310497</v>
      </c>
      <c r="K98" s="36">
        <f t="shared" si="39"/>
        <v>1.6045588828318709</v>
      </c>
      <c r="L98" s="37">
        <f>$I98*$K98/'Calculation Constants'!$B$7</f>
        <v>2555934.503625989</v>
      </c>
      <c r="M98" s="37">
        <f t="shared" si="40"/>
        <v>183.82100000000003</v>
      </c>
      <c r="N98" s="23">
        <f t="shared" si="41"/>
        <v>92.898224762048926</v>
      </c>
      <c r="O98" s="57">
        <f t="shared" si="29"/>
        <v>183.82100000000003</v>
      </c>
      <c r="P98" s="66">
        <f>MAX(I98*1000/'Calculation Constants'!$B$14,O98*10*I98*1000/2/('Calculation Constants'!$B$12*1000*'Calculation Constants'!$B$13))</f>
        <v>11.25</v>
      </c>
      <c r="Q98" s="68">
        <f t="shared" si="30"/>
        <v>992548.40161508287</v>
      </c>
      <c r="R98" s="27">
        <f>(1/(2*LOG(3.7*$I98/'Calculation Constants'!$B$2*1000)))^2</f>
        <v>8.7463077071963571E-3</v>
      </c>
      <c r="S98" s="19">
        <f t="shared" si="42"/>
        <v>1.2752477269849725</v>
      </c>
      <c r="T98" s="19">
        <f>IF($H98&gt;0,'Calculation Constants'!$B$9*Hydraulics!$K98^2/2/9.81/MAX($F$4:$F$253)*$H98,"")</f>
        <v>7.8734226558858159E-2</v>
      </c>
      <c r="U98" s="19">
        <f t="shared" si="43"/>
        <v>1.3539819535438307</v>
      </c>
      <c r="V98" s="19">
        <f t="shared" si="31"/>
        <v>0</v>
      </c>
      <c r="W98" s="19">
        <f t="shared" si="32"/>
        <v>92.898224762048926</v>
      </c>
      <c r="X98" s="23">
        <f t="shared" si="44"/>
        <v>1020.747224762049</v>
      </c>
      <c r="Y98" s="22">
        <f>(1/(2*LOG(3.7*$I98/'Calculation Constants'!$B$3*1000)))^2</f>
        <v>9.8211436332891755E-3</v>
      </c>
      <c r="Z98" s="19">
        <f t="shared" si="33"/>
        <v>1.431963236834217</v>
      </c>
      <c r="AA98" s="19">
        <f>IF($H98&gt;0,'Calculation Constants'!$B$9*Hydraulics!$K98^2/2/9.81/MAX($F$4:$F$253)*$H98,"")</f>
        <v>7.8734226558858159E-2</v>
      </c>
      <c r="AB98" s="19">
        <f t="shared" si="55"/>
        <v>1.5106974633930752</v>
      </c>
      <c r="AC98" s="19">
        <f t="shared" si="34"/>
        <v>0</v>
      </c>
      <c r="AD98" s="19">
        <f t="shared" si="45"/>
        <v>82.445287819171767</v>
      </c>
      <c r="AE98" s="23">
        <f t="shared" si="46"/>
        <v>1010.2942878191718</v>
      </c>
      <c r="AF98" s="27">
        <f>(1/(2*LOG(3.7*$I98/'Calculation Constants'!$B$4*1000)))^2</f>
        <v>1.1575055557914658E-2</v>
      </c>
      <c r="AG98" s="19">
        <f t="shared" si="35"/>
        <v>1.6876908272744866</v>
      </c>
      <c r="AH98" s="19">
        <f>IF($H98&gt;0,'Calculation Constants'!$B$9*Hydraulics!$K98^2/2/9.81/MAX($F$4:$F$253)*$H98,"")</f>
        <v>7.8734226558858159E-2</v>
      </c>
      <c r="AI98" s="19">
        <f t="shared" si="47"/>
        <v>1.7664250538333448</v>
      </c>
      <c r="AJ98" s="19">
        <f t="shared" si="36"/>
        <v>0</v>
      </c>
      <c r="AK98" s="19">
        <f t="shared" si="48"/>
        <v>65.401579888141896</v>
      </c>
      <c r="AL98" s="23">
        <f t="shared" si="49"/>
        <v>993.25057988814194</v>
      </c>
      <c r="AM98" s="22">
        <f>(1/(2*LOG(3.7*($I98-0.008)/'Calculation Constants'!$B$5*1000)))^2</f>
        <v>1.4709705891825043E-2</v>
      </c>
      <c r="AN98" s="19">
        <f t="shared" si="50"/>
        <v>2.1543104841910781</v>
      </c>
      <c r="AO98" s="19">
        <f>IF($H98&gt;0,'Calculation Constants'!$B$9*Hydraulics!$K98^2/2/9.81/MAX($F$4:$F$253)*$H98,"")</f>
        <v>7.8734226558858159E-2</v>
      </c>
      <c r="AP98" s="19">
        <f t="shared" si="51"/>
        <v>2.2330447107499363</v>
      </c>
      <c r="AQ98" s="19">
        <f t="shared" si="37"/>
        <v>0</v>
      </c>
      <c r="AR98" s="19">
        <f t="shared" si="52"/>
        <v>34.370721949882409</v>
      </c>
      <c r="AS98" s="23">
        <f t="shared" si="53"/>
        <v>962.21972194988246</v>
      </c>
    </row>
    <row r="99" spans="5:45">
      <c r="E99" s="35" t="str">
        <f t="shared" si="38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4"/>
        <v>2</v>
      </c>
      <c r="I99" s="19">
        <v>1.8</v>
      </c>
      <c r="J99" s="36">
        <f>'Flow Rate Calculations'!$B$7</f>
        <v>4.0831050228310497</v>
      </c>
      <c r="K99" s="36">
        <f t="shared" si="39"/>
        <v>1.6045588828318709</v>
      </c>
      <c r="L99" s="37">
        <f>$I99*$K99/'Calculation Constants'!$B$7</f>
        <v>2555934.503625989</v>
      </c>
      <c r="M99" s="37">
        <f t="shared" si="40"/>
        <v>184.96000000000004</v>
      </c>
      <c r="N99" s="23">
        <f t="shared" si="41"/>
        <v>92.683242808505156</v>
      </c>
      <c r="O99" s="57">
        <f t="shared" si="29"/>
        <v>184.96000000000004</v>
      </c>
      <c r="P99" s="66">
        <f>MAX(I99*1000/'Calculation Constants'!$B$14,O99*10*I99*1000/2/('Calculation Constants'!$B$12*1000*'Calculation Constants'!$B$13))</f>
        <v>11.25</v>
      </c>
      <c r="Q99" s="68">
        <f t="shared" si="30"/>
        <v>992548.40161508287</v>
      </c>
      <c r="R99" s="27">
        <f>(1/(2*LOG(3.7*$I99/'Calculation Constants'!$B$2*1000)))^2</f>
        <v>8.7463077071963571E-3</v>
      </c>
      <c r="S99" s="19">
        <f t="shared" si="42"/>
        <v>1.2752477269849725</v>
      </c>
      <c r="T99" s="19">
        <f>IF($H99&gt;0,'Calculation Constants'!$B$9*Hydraulics!$K99^2/2/9.81/MAX($F$4:$F$253)*$H99,"")</f>
        <v>7.8734226558858159E-2</v>
      </c>
      <c r="U99" s="19">
        <f t="shared" si="43"/>
        <v>1.3539819535438307</v>
      </c>
      <c r="V99" s="19">
        <f t="shared" si="31"/>
        <v>0</v>
      </c>
      <c r="W99" s="19">
        <f t="shared" si="32"/>
        <v>92.683242808505156</v>
      </c>
      <c r="X99" s="23">
        <f t="shared" si="44"/>
        <v>1019.3932428085052</v>
      </c>
      <c r="Y99" s="22">
        <f>(1/(2*LOG(3.7*$I99/'Calculation Constants'!$B$3*1000)))^2</f>
        <v>9.8211436332891755E-3</v>
      </c>
      <c r="Z99" s="19">
        <f t="shared" si="33"/>
        <v>1.431963236834217</v>
      </c>
      <c r="AA99" s="19">
        <f>IF($H99&gt;0,'Calculation Constants'!$B$9*Hydraulics!$K99^2/2/9.81/MAX($F$4:$F$253)*$H99,"")</f>
        <v>7.8734226558858159E-2</v>
      </c>
      <c r="AB99" s="19">
        <f t="shared" si="55"/>
        <v>1.5106974633930752</v>
      </c>
      <c r="AC99" s="19">
        <f t="shared" si="34"/>
        <v>0</v>
      </c>
      <c r="AD99" s="19">
        <f t="shared" si="45"/>
        <v>82.07359035577872</v>
      </c>
      <c r="AE99" s="23">
        <f t="shared" si="46"/>
        <v>1008.7835903557788</v>
      </c>
      <c r="AF99" s="27">
        <f>(1/(2*LOG(3.7*$I99/'Calculation Constants'!$B$4*1000)))^2</f>
        <v>1.1575055557914658E-2</v>
      </c>
      <c r="AG99" s="19">
        <f t="shared" si="35"/>
        <v>1.6876908272744866</v>
      </c>
      <c r="AH99" s="19">
        <f>IF($H99&gt;0,'Calculation Constants'!$B$9*Hydraulics!$K99^2/2/9.81/MAX($F$4:$F$253)*$H99,"")</f>
        <v>7.8734226558858159E-2</v>
      </c>
      <c r="AI99" s="19">
        <f t="shared" si="47"/>
        <v>1.7664250538333448</v>
      </c>
      <c r="AJ99" s="19">
        <f t="shared" si="36"/>
        <v>0</v>
      </c>
      <c r="AK99" s="19">
        <f t="shared" si="48"/>
        <v>64.774154834308547</v>
      </c>
      <c r="AL99" s="23">
        <f t="shared" si="49"/>
        <v>991.48415483430858</v>
      </c>
      <c r="AM99" s="22">
        <f>(1/(2*LOG(3.7*($I99-0.008)/'Calculation Constants'!$B$5*1000)))^2</f>
        <v>1.4709705891825043E-2</v>
      </c>
      <c r="AN99" s="19">
        <f t="shared" si="50"/>
        <v>2.1543104841910781</v>
      </c>
      <c r="AO99" s="19">
        <f>IF($H99&gt;0,'Calculation Constants'!$B$9*Hydraulics!$K99^2/2/9.81/MAX($F$4:$F$253)*$H99,"")</f>
        <v>7.8734226558858159E-2</v>
      </c>
      <c r="AP99" s="19">
        <f t="shared" si="51"/>
        <v>2.2330447107499363</v>
      </c>
      <c r="AQ99" s="19">
        <f t="shared" si="37"/>
        <v>0</v>
      </c>
      <c r="AR99" s="19">
        <f t="shared" si="52"/>
        <v>33.276677239132482</v>
      </c>
      <c r="AS99" s="23">
        <f t="shared" si="53"/>
        <v>959.98667723913252</v>
      </c>
    </row>
    <row r="100" spans="5:45">
      <c r="E100" s="35" t="str">
        <f t="shared" si="38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4"/>
        <v>2</v>
      </c>
      <c r="I100" s="19">
        <v>1.8</v>
      </c>
      <c r="J100" s="36">
        <f>'Flow Rate Calculations'!$B$7</f>
        <v>4.0831050228310497</v>
      </c>
      <c r="K100" s="36">
        <f t="shared" si="39"/>
        <v>1.6045588828318709</v>
      </c>
      <c r="L100" s="37">
        <f>$I100*$K100/'Calculation Constants'!$B$7</f>
        <v>2555934.503625989</v>
      </c>
      <c r="M100" s="37">
        <f t="shared" si="40"/>
        <v>185.46900000000005</v>
      </c>
      <c r="N100" s="23">
        <f t="shared" si="41"/>
        <v>91.838260854961391</v>
      </c>
      <c r="O100" s="57">
        <f t="shared" si="29"/>
        <v>185.46900000000005</v>
      </c>
      <c r="P100" s="66">
        <f>MAX(I100*1000/'Calculation Constants'!$B$14,O100*10*I100*1000/2/('Calculation Constants'!$B$12*1000*'Calculation Constants'!$B$13))</f>
        <v>11.25</v>
      </c>
      <c r="Q100" s="68">
        <f t="shared" si="30"/>
        <v>992548.40161508287</v>
      </c>
      <c r="R100" s="27">
        <f>(1/(2*LOG(3.7*$I100/'Calculation Constants'!$B$2*1000)))^2</f>
        <v>8.7463077071963571E-3</v>
      </c>
      <c r="S100" s="19">
        <f t="shared" si="42"/>
        <v>1.2752477269849725</v>
      </c>
      <c r="T100" s="19">
        <f>IF($H100&gt;0,'Calculation Constants'!$B$9*Hydraulics!$K100^2/2/9.81/MAX($F$4:$F$253)*$H100,"")</f>
        <v>7.8734226558858159E-2</v>
      </c>
      <c r="U100" s="19">
        <f t="shared" si="43"/>
        <v>1.3539819535438307</v>
      </c>
      <c r="V100" s="19">
        <f t="shared" si="31"/>
        <v>0</v>
      </c>
      <c r="W100" s="19">
        <f t="shared" si="32"/>
        <v>91.838260854961391</v>
      </c>
      <c r="X100" s="23">
        <f t="shared" si="44"/>
        <v>1018.0392608549614</v>
      </c>
      <c r="Y100" s="22">
        <f>(1/(2*LOG(3.7*$I100/'Calculation Constants'!$B$3*1000)))^2</f>
        <v>9.8211436332891755E-3</v>
      </c>
      <c r="Z100" s="19">
        <f t="shared" si="33"/>
        <v>1.431963236834217</v>
      </c>
      <c r="AA100" s="19">
        <f>IF($H100&gt;0,'Calculation Constants'!$B$9*Hydraulics!$K100^2/2/9.81/MAX($F$4:$F$253)*$H100,"")</f>
        <v>7.8734226558858159E-2</v>
      </c>
      <c r="AB100" s="19">
        <f t="shared" si="55"/>
        <v>1.5106974633930752</v>
      </c>
      <c r="AC100" s="19">
        <f t="shared" si="34"/>
        <v>0</v>
      </c>
      <c r="AD100" s="19">
        <f t="shared" si="45"/>
        <v>81.071892892385677</v>
      </c>
      <c r="AE100" s="23">
        <f t="shared" si="46"/>
        <v>1007.2728928923857</v>
      </c>
      <c r="AF100" s="27">
        <f>(1/(2*LOG(3.7*$I100/'Calculation Constants'!$B$4*1000)))^2</f>
        <v>1.1575055557914658E-2</v>
      </c>
      <c r="AG100" s="19">
        <f t="shared" si="35"/>
        <v>1.6876908272744866</v>
      </c>
      <c r="AH100" s="19">
        <f>IF($H100&gt;0,'Calculation Constants'!$B$9*Hydraulics!$K100^2/2/9.81/MAX($F$4:$F$253)*$H100,"")</f>
        <v>7.8734226558858159E-2</v>
      </c>
      <c r="AI100" s="19">
        <f t="shared" si="47"/>
        <v>1.7664250538333448</v>
      </c>
      <c r="AJ100" s="19">
        <f t="shared" si="36"/>
        <v>0</v>
      </c>
      <c r="AK100" s="19">
        <f t="shared" si="48"/>
        <v>63.516729780475202</v>
      </c>
      <c r="AL100" s="23">
        <f t="shared" si="49"/>
        <v>989.71772978047522</v>
      </c>
      <c r="AM100" s="22">
        <f>(1/(2*LOG(3.7*($I100-0.008)/'Calculation Constants'!$B$5*1000)))^2</f>
        <v>1.4709705891825043E-2</v>
      </c>
      <c r="AN100" s="19">
        <f t="shared" si="50"/>
        <v>2.1543104841910781</v>
      </c>
      <c r="AO100" s="19">
        <f>IF($H100&gt;0,'Calculation Constants'!$B$9*Hydraulics!$K100^2/2/9.81/MAX($F$4:$F$253)*$H100,"")</f>
        <v>7.8734226558858159E-2</v>
      </c>
      <c r="AP100" s="19">
        <f t="shared" si="51"/>
        <v>2.2330447107499363</v>
      </c>
      <c r="AQ100" s="19">
        <f t="shared" si="37"/>
        <v>0</v>
      </c>
      <c r="AR100" s="19">
        <f t="shared" si="52"/>
        <v>31.55263252838256</v>
      </c>
      <c r="AS100" s="23">
        <f t="shared" si="53"/>
        <v>957.75363252838258</v>
      </c>
    </row>
    <row r="101" spans="5:45">
      <c r="E101" s="35" t="str">
        <f t="shared" si="38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4"/>
        <v>2</v>
      </c>
      <c r="I101" s="19">
        <v>1.8</v>
      </c>
      <c r="J101" s="36">
        <f>'Flow Rate Calculations'!$B$7</f>
        <v>4.0831050228310497</v>
      </c>
      <c r="K101" s="36">
        <f t="shared" si="39"/>
        <v>1.6045588828318709</v>
      </c>
      <c r="L101" s="37">
        <f>$I101*$K101/'Calculation Constants'!$B$7</f>
        <v>2555934.503625989</v>
      </c>
      <c r="M101" s="37">
        <f t="shared" si="40"/>
        <v>187.16100000000006</v>
      </c>
      <c r="N101" s="23">
        <f t="shared" si="41"/>
        <v>92.176278901417618</v>
      </c>
      <c r="O101" s="57">
        <f t="shared" si="29"/>
        <v>187.16100000000006</v>
      </c>
      <c r="P101" s="66">
        <f>MAX(I101*1000/'Calculation Constants'!$B$14,O101*10*I101*1000/2/('Calculation Constants'!$B$12*1000*'Calculation Constants'!$B$13))</f>
        <v>11.25</v>
      </c>
      <c r="Q101" s="68">
        <f t="shared" si="30"/>
        <v>992548.40161508287</v>
      </c>
      <c r="R101" s="27">
        <f>(1/(2*LOG(3.7*$I101/'Calculation Constants'!$B$2*1000)))^2</f>
        <v>8.7463077071963571E-3</v>
      </c>
      <c r="S101" s="19">
        <f t="shared" si="42"/>
        <v>1.2752477269849725</v>
      </c>
      <c r="T101" s="19">
        <f>IF($H101&gt;0,'Calculation Constants'!$B$9*Hydraulics!$K101^2/2/9.81/MAX($F$4:$F$253)*$H101,"")</f>
        <v>7.8734226558858159E-2</v>
      </c>
      <c r="U101" s="19">
        <f t="shared" si="43"/>
        <v>1.3539819535438307</v>
      </c>
      <c r="V101" s="19">
        <f t="shared" si="31"/>
        <v>0</v>
      </c>
      <c r="W101" s="19">
        <f t="shared" si="32"/>
        <v>92.176278901417618</v>
      </c>
      <c r="X101" s="23">
        <f t="shared" si="44"/>
        <v>1016.6852789014176</v>
      </c>
      <c r="Y101" s="22">
        <f>(1/(2*LOG(3.7*$I101/'Calculation Constants'!$B$3*1000)))^2</f>
        <v>9.8211436332891755E-3</v>
      </c>
      <c r="Z101" s="19">
        <f t="shared" si="33"/>
        <v>1.431963236834217</v>
      </c>
      <c r="AA101" s="19">
        <f>IF($H101&gt;0,'Calculation Constants'!$B$9*Hydraulics!$K101^2/2/9.81/MAX($F$4:$F$253)*$H101,"")</f>
        <v>7.8734226558858159E-2</v>
      </c>
      <c r="AB101" s="19">
        <f t="shared" si="55"/>
        <v>1.5106974633930752</v>
      </c>
      <c r="AC101" s="19">
        <f t="shared" si="34"/>
        <v>0</v>
      </c>
      <c r="AD101" s="19">
        <f t="shared" si="45"/>
        <v>81.253195428992626</v>
      </c>
      <c r="AE101" s="23">
        <f t="shared" si="46"/>
        <v>1005.7621954289926</v>
      </c>
      <c r="AF101" s="27">
        <f>(1/(2*LOG(3.7*$I101/'Calculation Constants'!$B$4*1000)))^2</f>
        <v>1.1575055557914658E-2</v>
      </c>
      <c r="AG101" s="19">
        <f t="shared" si="35"/>
        <v>1.6876908272744866</v>
      </c>
      <c r="AH101" s="19">
        <f>IF($H101&gt;0,'Calculation Constants'!$B$9*Hydraulics!$K101^2/2/9.81/MAX($F$4:$F$253)*$H101,"")</f>
        <v>7.8734226558858159E-2</v>
      </c>
      <c r="AI101" s="19">
        <f t="shared" si="47"/>
        <v>1.7664250538333448</v>
      </c>
      <c r="AJ101" s="19">
        <f t="shared" si="36"/>
        <v>0</v>
      </c>
      <c r="AK101" s="19">
        <f t="shared" si="48"/>
        <v>63.442304726641851</v>
      </c>
      <c r="AL101" s="23">
        <f t="shared" si="49"/>
        <v>987.95130472664187</v>
      </c>
      <c r="AM101" s="22">
        <f>(1/(2*LOG(3.7*($I101-0.008)/'Calculation Constants'!$B$5*1000)))^2</f>
        <v>1.4709705891825043E-2</v>
      </c>
      <c r="AN101" s="19">
        <f t="shared" si="50"/>
        <v>2.1543104841910781</v>
      </c>
      <c r="AO101" s="19">
        <f>IF($H101&gt;0,'Calculation Constants'!$B$9*Hydraulics!$K101^2/2/9.81/MAX($F$4:$F$253)*$H101,"")</f>
        <v>7.8734226558858159E-2</v>
      </c>
      <c r="AP101" s="19">
        <f t="shared" si="51"/>
        <v>2.2330447107499363</v>
      </c>
      <c r="AQ101" s="19">
        <f t="shared" si="37"/>
        <v>0</v>
      </c>
      <c r="AR101" s="19">
        <f t="shared" si="52"/>
        <v>31.011587817632631</v>
      </c>
      <c r="AS101" s="23">
        <f t="shared" si="53"/>
        <v>955.52058781763265</v>
      </c>
    </row>
    <row r="102" spans="5:45">
      <c r="E102" s="35" t="str">
        <f t="shared" si="38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4"/>
        <v>2</v>
      </c>
      <c r="I102" s="19">
        <v>1.8</v>
      </c>
      <c r="J102" s="36">
        <f>'Flow Rate Calculations'!$B$7</f>
        <v>4.0831050228310497</v>
      </c>
      <c r="K102" s="36">
        <f t="shared" si="39"/>
        <v>1.6045588828318709</v>
      </c>
      <c r="L102" s="37">
        <f>$I102*$K102/'Calculation Constants'!$B$7</f>
        <v>2555934.503625989</v>
      </c>
      <c r="M102" s="37">
        <f t="shared" si="40"/>
        <v>188.25300000000004</v>
      </c>
      <c r="N102" s="23">
        <f t="shared" si="41"/>
        <v>91.914296947873822</v>
      </c>
      <c r="O102" s="57">
        <f t="shared" si="29"/>
        <v>188.25300000000004</v>
      </c>
      <c r="P102" s="66">
        <f>MAX(I102*1000/'Calculation Constants'!$B$14,O102*10*I102*1000/2/('Calculation Constants'!$B$12*1000*'Calculation Constants'!$B$13))</f>
        <v>11.295180000000004</v>
      </c>
      <c r="Q102" s="68">
        <f t="shared" si="30"/>
        <v>996509.30566606077</v>
      </c>
      <c r="R102" s="27">
        <f>(1/(2*LOG(3.7*$I102/'Calculation Constants'!$B$2*1000)))^2</f>
        <v>8.7463077071963571E-3</v>
      </c>
      <c r="S102" s="19">
        <f t="shared" si="42"/>
        <v>1.2752477269849725</v>
      </c>
      <c r="T102" s="19">
        <f>IF($H102&gt;0,'Calculation Constants'!$B$9*Hydraulics!$K102^2/2/9.81/MAX($F$4:$F$253)*$H102,"")</f>
        <v>7.8734226558858159E-2</v>
      </c>
      <c r="U102" s="19">
        <f t="shared" si="43"/>
        <v>1.3539819535438307</v>
      </c>
      <c r="V102" s="19">
        <f t="shared" si="31"/>
        <v>0</v>
      </c>
      <c r="W102" s="19">
        <f t="shared" si="32"/>
        <v>91.914296947873822</v>
      </c>
      <c r="X102" s="23">
        <f t="shared" si="44"/>
        <v>1015.3312969478739</v>
      </c>
      <c r="Y102" s="22">
        <f>(1/(2*LOG(3.7*$I102/'Calculation Constants'!$B$3*1000)))^2</f>
        <v>9.8211436332891755E-3</v>
      </c>
      <c r="Z102" s="19">
        <f t="shared" si="33"/>
        <v>1.431963236834217</v>
      </c>
      <c r="AA102" s="19">
        <f>IF($H102&gt;0,'Calculation Constants'!$B$9*Hydraulics!$K102^2/2/9.81/MAX($F$4:$F$253)*$H102,"")</f>
        <v>7.8734226558858159E-2</v>
      </c>
      <c r="AB102" s="19">
        <f t="shared" si="55"/>
        <v>1.5106974633930752</v>
      </c>
      <c r="AC102" s="19">
        <f t="shared" si="34"/>
        <v>0</v>
      </c>
      <c r="AD102" s="19">
        <f t="shared" si="45"/>
        <v>80.834497965599553</v>
      </c>
      <c r="AE102" s="23">
        <f t="shared" si="46"/>
        <v>1004.2514979655996</v>
      </c>
      <c r="AF102" s="27">
        <f>(1/(2*LOG(3.7*$I102/'Calculation Constants'!$B$4*1000)))^2</f>
        <v>1.1575055557914658E-2</v>
      </c>
      <c r="AG102" s="19">
        <f t="shared" si="35"/>
        <v>1.6876908272744866</v>
      </c>
      <c r="AH102" s="19">
        <f>IF($H102&gt;0,'Calculation Constants'!$B$9*Hydraulics!$K102^2/2/9.81/MAX($F$4:$F$253)*$H102,"")</f>
        <v>7.8734226558858159E-2</v>
      </c>
      <c r="AI102" s="19">
        <f t="shared" si="47"/>
        <v>1.7664250538333448</v>
      </c>
      <c r="AJ102" s="19">
        <f t="shared" si="36"/>
        <v>0</v>
      </c>
      <c r="AK102" s="19">
        <f t="shared" si="48"/>
        <v>62.767879672808476</v>
      </c>
      <c r="AL102" s="23">
        <f t="shared" si="49"/>
        <v>986.18487967280851</v>
      </c>
      <c r="AM102" s="22">
        <f>(1/(2*LOG(3.7*($I102-0.008)/'Calculation Constants'!$B$5*1000)))^2</f>
        <v>1.4709705891825043E-2</v>
      </c>
      <c r="AN102" s="19">
        <f t="shared" si="50"/>
        <v>2.1543104841910781</v>
      </c>
      <c r="AO102" s="19">
        <f>IF($H102&gt;0,'Calculation Constants'!$B$9*Hydraulics!$K102^2/2/9.81/MAX($F$4:$F$253)*$H102,"")</f>
        <v>7.8734226558858159E-2</v>
      </c>
      <c r="AP102" s="19">
        <f t="shared" si="51"/>
        <v>2.2330447107499363</v>
      </c>
      <c r="AQ102" s="19">
        <f t="shared" si="37"/>
        <v>0</v>
      </c>
      <c r="AR102" s="19">
        <f t="shared" si="52"/>
        <v>29.870543106882678</v>
      </c>
      <c r="AS102" s="23">
        <f t="shared" si="53"/>
        <v>953.28754310688271</v>
      </c>
    </row>
    <row r="103" spans="5:45">
      <c r="E103" s="35" t="str">
        <f t="shared" si="38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4"/>
        <v>2</v>
      </c>
      <c r="I103" s="19">
        <v>1.8</v>
      </c>
      <c r="J103" s="36">
        <f>'Flow Rate Calculations'!$B$7</f>
        <v>4.0831050228310497</v>
      </c>
      <c r="K103" s="36">
        <f t="shared" si="39"/>
        <v>1.6045588828318709</v>
      </c>
      <c r="L103" s="37">
        <f>$I103*$K103/'Calculation Constants'!$B$7</f>
        <v>2555934.503625989</v>
      </c>
      <c r="M103" s="37">
        <f t="shared" si="40"/>
        <v>188.65900000000011</v>
      </c>
      <c r="N103" s="23">
        <f t="shared" si="41"/>
        <v>90.966314994330105</v>
      </c>
      <c r="O103" s="57">
        <f t="shared" si="29"/>
        <v>188.65900000000011</v>
      </c>
      <c r="P103" s="66">
        <f>MAX(I103*1000/'Calculation Constants'!$B$14,O103*10*I103*1000/2/('Calculation Constants'!$B$12*1000*'Calculation Constants'!$B$13))</f>
        <v>11.319540000000007</v>
      </c>
      <c r="Q103" s="68">
        <f t="shared" si="30"/>
        <v>998644.84899855172</v>
      </c>
      <c r="R103" s="27">
        <f>(1/(2*LOG(3.7*$I103/'Calculation Constants'!$B$2*1000)))^2</f>
        <v>8.7463077071963571E-3</v>
      </c>
      <c r="S103" s="19">
        <f t="shared" si="42"/>
        <v>1.2752477269849725</v>
      </c>
      <c r="T103" s="19">
        <f>IF($H103&gt;0,'Calculation Constants'!$B$9*Hydraulics!$K103^2/2/9.81/MAX($F$4:$F$253)*$H103,"")</f>
        <v>7.8734226558858159E-2</v>
      </c>
      <c r="U103" s="19">
        <f t="shared" si="43"/>
        <v>1.3539819535438307</v>
      </c>
      <c r="V103" s="19">
        <f t="shared" si="31"/>
        <v>0</v>
      </c>
      <c r="W103" s="19">
        <f t="shared" si="32"/>
        <v>90.966314994330105</v>
      </c>
      <c r="X103" s="23">
        <f t="shared" si="44"/>
        <v>1013.9773149943301</v>
      </c>
      <c r="Y103" s="22">
        <f>(1/(2*LOG(3.7*$I103/'Calculation Constants'!$B$3*1000)))^2</f>
        <v>9.8211436332891755E-3</v>
      </c>
      <c r="Z103" s="19">
        <f t="shared" si="33"/>
        <v>1.431963236834217</v>
      </c>
      <c r="AA103" s="19">
        <f>IF($H103&gt;0,'Calculation Constants'!$B$9*Hydraulics!$K103^2/2/9.81/MAX($F$4:$F$253)*$H103,"")</f>
        <v>7.8734226558858159E-2</v>
      </c>
      <c r="AB103" s="19">
        <f t="shared" si="55"/>
        <v>1.5106974633930752</v>
      </c>
      <c r="AC103" s="19">
        <f t="shared" si="34"/>
        <v>0</v>
      </c>
      <c r="AD103" s="19">
        <f t="shared" si="45"/>
        <v>79.729800502206558</v>
      </c>
      <c r="AE103" s="23">
        <f t="shared" si="46"/>
        <v>1002.7408005022065</v>
      </c>
      <c r="AF103" s="27">
        <f>(1/(2*LOG(3.7*$I103/'Calculation Constants'!$B$4*1000)))^2</f>
        <v>1.1575055557914658E-2</v>
      </c>
      <c r="AG103" s="19">
        <f t="shared" si="35"/>
        <v>1.6876908272744866</v>
      </c>
      <c r="AH103" s="19">
        <f>IF($H103&gt;0,'Calculation Constants'!$B$9*Hydraulics!$K103^2/2/9.81/MAX($F$4:$F$253)*$H103,"")</f>
        <v>7.8734226558858159E-2</v>
      </c>
      <c r="AI103" s="19">
        <f t="shared" si="47"/>
        <v>1.7664250538333448</v>
      </c>
      <c r="AJ103" s="19">
        <f t="shared" si="36"/>
        <v>0</v>
      </c>
      <c r="AK103" s="19">
        <f t="shared" si="48"/>
        <v>61.40745461897518</v>
      </c>
      <c r="AL103" s="23">
        <f t="shared" si="49"/>
        <v>984.41845461897515</v>
      </c>
      <c r="AM103" s="22">
        <f>(1/(2*LOG(3.7*($I103-0.008)/'Calculation Constants'!$B$5*1000)))^2</f>
        <v>1.4709705891825043E-2</v>
      </c>
      <c r="AN103" s="19">
        <f t="shared" si="50"/>
        <v>2.1543104841910781</v>
      </c>
      <c r="AO103" s="19">
        <f>IF($H103&gt;0,'Calculation Constants'!$B$9*Hydraulics!$K103^2/2/9.81/MAX($F$4:$F$253)*$H103,"")</f>
        <v>7.8734226558858159E-2</v>
      </c>
      <c r="AP103" s="19">
        <f t="shared" si="51"/>
        <v>2.2330447107499363</v>
      </c>
      <c r="AQ103" s="19">
        <f t="shared" si="37"/>
        <v>0</v>
      </c>
      <c r="AR103" s="19">
        <f t="shared" si="52"/>
        <v>28.043498396132804</v>
      </c>
      <c r="AS103" s="23">
        <f t="shared" si="53"/>
        <v>951.05449839613277</v>
      </c>
    </row>
    <row r="104" spans="5:45">
      <c r="E104" s="35" t="str">
        <f t="shared" si="38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4"/>
        <v>2</v>
      </c>
      <c r="I104" s="19">
        <v>1.8</v>
      </c>
      <c r="J104" s="36">
        <f>'Flow Rate Calculations'!$B$7</f>
        <v>4.0831050228310497</v>
      </c>
      <c r="K104" s="36">
        <f t="shared" si="39"/>
        <v>1.6045588828318709</v>
      </c>
      <c r="L104" s="37">
        <f>$I104*$K104/'Calculation Constants'!$B$7</f>
        <v>2555934.503625989</v>
      </c>
      <c r="M104" s="37">
        <f t="shared" si="40"/>
        <v>189.70100000000002</v>
      </c>
      <c r="N104" s="23">
        <f t="shared" si="41"/>
        <v>90.654333040786241</v>
      </c>
      <c r="O104" s="57">
        <f t="shared" si="29"/>
        <v>189.70100000000002</v>
      </c>
      <c r="P104" s="66">
        <f>MAX(I104*1000/'Calculation Constants'!$B$14,O104*10*I104*1000/2/('Calculation Constants'!$B$12*1000*'Calculation Constants'!$B$13))</f>
        <v>11.382060000000001</v>
      </c>
      <c r="Q104" s="68">
        <f t="shared" si="30"/>
        <v>1004125.4583117398</v>
      </c>
      <c r="R104" s="27">
        <f>(1/(2*LOG(3.7*$I104/'Calculation Constants'!$B$2*1000)))^2</f>
        <v>8.7463077071963571E-3</v>
      </c>
      <c r="S104" s="19">
        <f t="shared" si="42"/>
        <v>1.2752477269849725</v>
      </c>
      <c r="T104" s="19">
        <f>IF($H104&gt;0,'Calculation Constants'!$B$9*Hydraulics!$K104^2/2/9.81/MAX($F$4:$F$253)*$H104,"")</f>
        <v>7.8734226558858159E-2</v>
      </c>
      <c r="U104" s="19">
        <f t="shared" si="43"/>
        <v>1.3539819535438307</v>
      </c>
      <c r="V104" s="19">
        <f t="shared" si="31"/>
        <v>0</v>
      </c>
      <c r="W104" s="19">
        <f t="shared" si="32"/>
        <v>90.654333040786241</v>
      </c>
      <c r="X104" s="23">
        <f t="shared" si="44"/>
        <v>1012.6233330407863</v>
      </c>
      <c r="Y104" s="22">
        <f>(1/(2*LOG(3.7*$I104/'Calculation Constants'!$B$3*1000)))^2</f>
        <v>9.8211436332891755E-3</v>
      </c>
      <c r="Z104" s="19">
        <f t="shared" si="33"/>
        <v>1.431963236834217</v>
      </c>
      <c r="AA104" s="19">
        <f>IF($H104&gt;0,'Calculation Constants'!$B$9*Hydraulics!$K104^2/2/9.81/MAX($F$4:$F$253)*$H104,"")</f>
        <v>7.8734226558858159E-2</v>
      </c>
      <c r="AB104" s="19">
        <f t="shared" si="55"/>
        <v>1.5106974633930752</v>
      </c>
      <c r="AC104" s="19">
        <f t="shared" si="34"/>
        <v>0</v>
      </c>
      <c r="AD104" s="19">
        <f t="shared" si="45"/>
        <v>79.261103038813417</v>
      </c>
      <c r="AE104" s="23">
        <f t="shared" si="46"/>
        <v>1001.2301030388135</v>
      </c>
      <c r="AF104" s="27">
        <f>(1/(2*LOG(3.7*$I104/'Calculation Constants'!$B$4*1000)))^2</f>
        <v>1.1575055557914658E-2</v>
      </c>
      <c r="AG104" s="19">
        <f t="shared" si="35"/>
        <v>1.6876908272744866</v>
      </c>
      <c r="AH104" s="19">
        <f>IF($H104&gt;0,'Calculation Constants'!$B$9*Hydraulics!$K104^2/2/9.81/MAX($F$4:$F$253)*$H104,"")</f>
        <v>7.8734226558858159E-2</v>
      </c>
      <c r="AI104" s="19">
        <f t="shared" si="47"/>
        <v>1.7664250538333448</v>
      </c>
      <c r="AJ104" s="19">
        <f t="shared" si="36"/>
        <v>0</v>
      </c>
      <c r="AK104" s="19">
        <f t="shared" si="48"/>
        <v>60.683029565141737</v>
      </c>
      <c r="AL104" s="23">
        <f t="shared" si="49"/>
        <v>982.65202956514179</v>
      </c>
      <c r="AM104" s="22">
        <f>(1/(2*LOG(3.7*($I104-0.008)/'Calculation Constants'!$B$5*1000)))^2</f>
        <v>1.4709705891825043E-2</v>
      </c>
      <c r="AN104" s="19">
        <f t="shared" si="50"/>
        <v>2.1543104841910781</v>
      </c>
      <c r="AO104" s="19">
        <f>IF($H104&gt;0,'Calculation Constants'!$B$9*Hydraulics!$K104^2/2/9.81/MAX($F$4:$F$253)*$H104,"")</f>
        <v>7.8734226558858159E-2</v>
      </c>
      <c r="AP104" s="19">
        <f t="shared" si="51"/>
        <v>2.2330447107499363</v>
      </c>
      <c r="AQ104" s="19">
        <f t="shared" si="37"/>
        <v>0</v>
      </c>
      <c r="AR104" s="19">
        <f t="shared" si="52"/>
        <v>26.852453685382784</v>
      </c>
      <c r="AS104" s="23">
        <f t="shared" si="53"/>
        <v>948.82145368538283</v>
      </c>
    </row>
    <row r="105" spans="5:45">
      <c r="E105" s="35" t="str">
        <f t="shared" si="38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4"/>
        <v>2</v>
      </c>
      <c r="I105" s="19">
        <v>1.8</v>
      </c>
      <c r="J105" s="36">
        <f>'Flow Rate Calculations'!$B$7</f>
        <v>4.0831050228310497</v>
      </c>
      <c r="K105" s="36">
        <f t="shared" si="39"/>
        <v>1.6045588828318709</v>
      </c>
      <c r="L105" s="37">
        <f>$I105*$K105/'Calculation Constants'!$B$7</f>
        <v>2555934.503625989</v>
      </c>
      <c r="M105" s="37">
        <f t="shared" si="40"/>
        <v>191.00900000000013</v>
      </c>
      <c r="N105" s="23">
        <f t="shared" si="41"/>
        <v>90.608351087242568</v>
      </c>
      <c r="O105" s="57">
        <f t="shared" si="29"/>
        <v>191.00900000000013</v>
      </c>
      <c r="P105" s="66">
        <f>MAX(I105*1000/'Calculation Constants'!$B$14,O105*10*I105*1000/2/('Calculation Constants'!$B$12*1000*'Calculation Constants'!$B$13))</f>
        <v>11.460540000000007</v>
      </c>
      <c r="Q105" s="68">
        <f t="shared" si="30"/>
        <v>1011004.6025207246</v>
      </c>
      <c r="R105" s="27">
        <f>(1/(2*LOG(3.7*$I105/'Calculation Constants'!$B$2*1000)))^2</f>
        <v>8.7463077071963571E-3</v>
      </c>
      <c r="S105" s="19">
        <f t="shared" si="42"/>
        <v>1.2752477269849725</v>
      </c>
      <c r="T105" s="19">
        <f>IF($H105&gt;0,'Calculation Constants'!$B$9*Hydraulics!$K105^2/2/9.81/MAX($F$4:$F$253)*$H105,"")</f>
        <v>7.8734226558858159E-2</v>
      </c>
      <c r="U105" s="19">
        <f t="shared" si="43"/>
        <v>1.3539819535438307</v>
      </c>
      <c r="V105" s="19">
        <f t="shared" si="31"/>
        <v>0</v>
      </c>
      <c r="W105" s="19">
        <f t="shared" si="32"/>
        <v>90.608351087242568</v>
      </c>
      <c r="X105" s="23">
        <f t="shared" si="44"/>
        <v>1011.2693510872425</v>
      </c>
      <c r="Y105" s="22">
        <f>(1/(2*LOG(3.7*$I105/'Calculation Constants'!$B$3*1000)))^2</f>
        <v>9.8211436332891755E-3</v>
      </c>
      <c r="Z105" s="19">
        <f t="shared" si="33"/>
        <v>1.431963236834217</v>
      </c>
      <c r="AA105" s="19">
        <f>IF($H105&gt;0,'Calculation Constants'!$B$9*Hydraulics!$K105^2/2/9.81/MAX($F$4:$F$253)*$H105,"")</f>
        <v>7.8734226558858159E-2</v>
      </c>
      <c r="AB105" s="19">
        <f t="shared" si="55"/>
        <v>1.5106974633930752</v>
      </c>
      <c r="AC105" s="19">
        <f t="shared" si="34"/>
        <v>0</v>
      </c>
      <c r="AD105" s="19">
        <f t="shared" si="45"/>
        <v>79.058405575420466</v>
      </c>
      <c r="AE105" s="23">
        <f t="shared" si="46"/>
        <v>999.71940557542041</v>
      </c>
      <c r="AF105" s="27">
        <f>(1/(2*LOG(3.7*$I105/'Calculation Constants'!$B$4*1000)))^2</f>
        <v>1.1575055557914658E-2</v>
      </c>
      <c r="AG105" s="19">
        <f t="shared" si="35"/>
        <v>1.6876908272744866</v>
      </c>
      <c r="AH105" s="19">
        <f>IF($H105&gt;0,'Calculation Constants'!$B$9*Hydraulics!$K105^2/2/9.81/MAX($F$4:$F$253)*$H105,"")</f>
        <v>7.8734226558858159E-2</v>
      </c>
      <c r="AI105" s="19">
        <f t="shared" si="47"/>
        <v>1.7664250538333448</v>
      </c>
      <c r="AJ105" s="19">
        <f t="shared" si="36"/>
        <v>0</v>
      </c>
      <c r="AK105" s="19">
        <f t="shared" si="48"/>
        <v>60.224604511308485</v>
      </c>
      <c r="AL105" s="23">
        <f t="shared" si="49"/>
        <v>980.88560451130843</v>
      </c>
      <c r="AM105" s="22">
        <f>(1/(2*LOG(3.7*($I105-0.008)/'Calculation Constants'!$B$5*1000)))^2</f>
        <v>1.4709705891825043E-2</v>
      </c>
      <c r="AN105" s="19">
        <f t="shared" si="50"/>
        <v>2.1543104841910781</v>
      </c>
      <c r="AO105" s="19">
        <f>IF($H105&gt;0,'Calculation Constants'!$B$9*Hydraulics!$K105^2/2/9.81/MAX($F$4:$F$253)*$H105,"")</f>
        <v>7.8734226558858159E-2</v>
      </c>
      <c r="AP105" s="19">
        <f t="shared" si="51"/>
        <v>2.2330447107499363</v>
      </c>
      <c r="AQ105" s="19">
        <f t="shared" si="37"/>
        <v>0</v>
      </c>
      <c r="AR105" s="19">
        <f t="shared" si="52"/>
        <v>25.927408974632954</v>
      </c>
      <c r="AS105" s="23">
        <f t="shared" si="53"/>
        <v>946.5884089746329</v>
      </c>
    </row>
    <row r="106" spans="5:45">
      <c r="E106" s="35" t="str">
        <f t="shared" si="38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4"/>
        <v>2</v>
      </c>
      <c r="I106" s="19">
        <v>1.8</v>
      </c>
      <c r="J106" s="36">
        <f>'Flow Rate Calculations'!$B$7</f>
        <v>4.0831050228310497</v>
      </c>
      <c r="K106" s="36">
        <f t="shared" si="39"/>
        <v>1.6045588828318709</v>
      </c>
      <c r="L106" s="37">
        <f>$I106*$K106/'Calculation Constants'!$B$7</f>
        <v>2555934.503625989</v>
      </c>
      <c r="M106" s="37">
        <f t="shared" si="40"/>
        <v>191.42700000000002</v>
      </c>
      <c r="N106" s="23">
        <f t="shared" si="41"/>
        <v>89.67236913369868</v>
      </c>
      <c r="O106" s="57">
        <f t="shared" si="29"/>
        <v>191.42700000000002</v>
      </c>
      <c r="P106" s="66">
        <f>MAX(I106*1000/'Calculation Constants'!$B$14,O106*10*I106*1000/2/('Calculation Constants'!$B$12*1000*'Calculation Constants'!$B$13))</f>
        <v>11.485620000000001</v>
      </c>
      <c r="Q106" s="68">
        <f t="shared" si="30"/>
        <v>1013202.8553623573</v>
      </c>
      <c r="R106" s="27">
        <f>(1/(2*LOG(3.7*$I106/'Calculation Constants'!$B$2*1000)))^2</f>
        <v>8.7463077071963571E-3</v>
      </c>
      <c r="S106" s="19">
        <f t="shared" si="42"/>
        <v>1.2752477269849725</v>
      </c>
      <c r="T106" s="19">
        <f>IF($H106&gt;0,'Calculation Constants'!$B$9*Hydraulics!$K106^2/2/9.81/MAX($F$4:$F$253)*$H106,"")</f>
        <v>7.8734226558858159E-2</v>
      </c>
      <c r="U106" s="19">
        <f t="shared" si="43"/>
        <v>1.3539819535438307</v>
      </c>
      <c r="V106" s="19">
        <f t="shared" si="31"/>
        <v>0</v>
      </c>
      <c r="W106" s="19">
        <f t="shared" si="32"/>
        <v>89.67236913369868</v>
      </c>
      <c r="X106" s="23">
        <f t="shared" si="44"/>
        <v>1009.9153691336987</v>
      </c>
      <c r="Y106" s="22">
        <f>(1/(2*LOG(3.7*$I106/'Calculation Constants'!$B$3*1000)))^2</f>
        <v>9.8211436332891755E-3</v>
      </c>
      <c r="Z106" s="19">
        <f t="shared" si="33"/>
        <v>1.431963236834217</v>
      </c>
      <c r="AA106" s="19">
        <f>IF($H106&gt;0,'Calculation Constants'!$B$9*Hydraulics!$K106^2/2/9.81/MAX($F$4:$F$253)*$H106,"")</f>
        <v>7.8734226558858159E-2</v>
      </c>
      <c r="AB106" s="19">
        <f t="shared" si="55"/>
        <v>1.5106974633930752</v>
      </c>
      <c r="AC106" s="19">
        <f t="shared" si="34"/>
        <v>0</v>
      </c>
      <c r="AD106" s="19">
        <f t="shared" si="45"/>
        <v>77.965708112027301</v>
      </c>
      <c r="AE106" s="23">
        <f t="shared" si="46"/>
        <v>998.20870811202735</v>
      </c>
      <c r="AF106" s="27">
        <f>(1/(2*LOG(3.7*$I106/'Calculation Constants'!$B$4*1000)))^2</f>
        <v>1.1575055557914658E-2</v>
      </c>
      <c r="AG106" s="19">
        <f t="shared" si="35"/>
        <v>1.6876908272744866</v>
      </c>
      <c r="AH106" s="19">
        <f>IF($H106&gt;0,'Calculation Constants'!$B$9*Hydraulics!$K106^2/2/9.81/MAX($F$4:$F$253)*$H106,"")</f>
        <v>7.8734226558858159E-2</v>
      </c>
      <c r="AI106" s="19">
        <f t="shared" si="47"/>
        <v>1.7664250538333448</v>
      </c>
      <c r="AJ106" s="19">
        <f t="shared" si="36"/>
        <v>0</v>
      </c>
      <c r="AK106" s="19">
        <f t="shared" si="48"/>
        <v>58.876179457475018</v>
      </c>
      <c r="AL106" s="23">
        <f t="shared" si="49"/>
        <v>979.11917945747507</v>
      </c>
      <c r="AM106" s="22">
        <f>(1/(2*LOG(3.7*($I106-0.008)/'Calculation Constants'!$B$5*1000)))^2</f>
        <v>1.4709705891825043E-2</v>
      </c>
      <c r="AN106" s="19">
        <f t="shared" si="50"/>
        <v>2.1543104841910781</v>
      </c>
      <c r="AO106" s="19">
        <f>IF($H106&gt;0,'Calculation Constants'!$B$9*Hydraulics!$K106^2/2/9.81/MAX($F$4:$F$253)*$H106,"")</f>
        <v>7.8734226558858159E-2</v>
      </c>
      <c r="AP106" s="19">
        <f t="shared" si="51"/>
        <v>2.2330447107499363</v>
      </c>
      <c r="AQ106" s="19">
        <f t="shared" si="37"/>
        <v>0</v>
      </c>
      <c r="AR106" s="19">
        <f t="shared" si="52"/>
        <v>24.11236426388291</v>
      </c>
      <c r="AS106" s="23">
        <f t="shared" si="53"/>
        <v>944.35536426388296</v>
      </c>
    </row>
    <row r="107" spans="5:45">
      <c r="E107" s="35" t="str">
        <f t="shared" si="38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4"/>
        <v>2</v>
      </c>
      <c r="I107" s="19">
        <v>1.8</v>
      </c>
      <c r="J107" s="36">
        <f>'Flow Rate Calculations'!$B$7</f>
        <v>4.0831050228310497</v>
      </c>
      <c r="K107" s="36">
        <f t="shared" si="39"/>
        <v>1.6045588828318709</v>
      </c>
      <c r="L107" s="37">
        <f>$I107*$K107/'Calculation Constants'!$B$7</f>
        <v>2555934.503625989</v>
      </c>
      <c r="M107" s="37">
        <f t="shared" si="40"/>
        <v>192.37300000000005</v>
      </c>
      <c r="N107" s="23">
        <f t="shared" si="41"/>
        <v>89.264387180154927</v>
      </c>
      <c r="O107" s="57">
        <f t="shared" si="29"/>
        <v>192.37300000000005</v>
      </c>
      <c r="P107" s="66">
        <f>MAX(I107*1000/'Calculation Constants'!$B$14,O107*10*I107*1000/2/('Calculation Constants'!$B$12*1000*'Calculation Constants'!$B$13))</f>
        <v>11.542380000000003</v>
      </c>
      <c r="Q107" s="68">
        <f t="shared" si="30"/>
        <v>1018177.6195184148</v>
      </c>
      <c r="R107" s="27">
        <f>(1/(2*LOG(3.7*$I107/'Calculation Constants'!$B$2*1000)))^2</f>
        <v>8.7463077071963571E-3</v>
      </c>
      <c r="S107" s="19">
        <f t="shared" si="42"/>
        <v>1.2752477269849725</v>
      </c>
      <c r="T107" s="19">
        <f>IF($H107&gt;0,'Calculation Constants'!$B$9*Hydraulics!$K107^2/2/9.81/MAX($F$4:$F$253)*$H107,"")</f>
        <v>7.8734226558858159E-2</v>
      </c>
      <c r="U107" s="19">
        <f t="shared" si="43"/>
        <v>1.3539819535438307</v>
      </c>
      <c r="V107" s="19">
        <f t="shared" si="31"/>
        <v>0</v>
      </c>
      <c r="W107" s="19">
        <f t="shared" si="32"/>
        <v>89.264387180154927</v>
      </c>
      <c r="X107" s="23">
        <f t="shared" si="44"/>
        <v>1008.561387180155</v>
      </c>
      <c r="Y107" s="22">
        <f>(1/(2*LOG(3.7*$I107/'Calculation Constants'!$B$3*1000)))^2</f>
        <v>9.8211436332891755E-3</v>
      </c>
      <c r="Z107" s="19">
        <f t="shared" si="33"/>
        <v>1.431963236834217</v>
      </c>
      <c r="AA107" s="19">
        <f>IF($H107&gt;0,'Calculation Constants'!$B$9*Hydraulics!$K107^2/2/9.81/MAX($F$4:$F$253)*$H107,"")</f>
        <v>7.8734226558858159E-2</v>
      </c>
      <c r="AB107" s="19">
        <f t="shared" si="55"/>
        <v>1.5106974633930752</v>
      </c>
      <c r="AC107" s="19">
        <f t="shared" si="34"/>
        <v>0</v>
      </c>
      <c r="AD107" s="19">
        <f t="shared" si="45"/>
        <v>77.401010648634269</v>
      </c>
      <c r="AE107" s="23">
        <f t="shared" si="46"/>
        <v>996.69801064863429</v>
      </c>
      <c r="AF107" s="27">
        <f>(1/(2*LOG(3.7*$I107/'Calculation Constants'!$B$4*1000)))^2</f>
        <v>1.1575055557914658E-2</v>
      </c>
      <c r="AG107" s="19">
        <f t="shared" si="35"/>
        <v>1.6876908272744866</v>
      </c>
      <c r="AH107" s="19">
        <f>IF($H107&gt;0,'Calculation Constants'!$B$9*Hydraulics!$K107^2/2/9.81/MAX($F$4:$F$253)*$H107,"")</f>
        <v>7.8734226558858159E-2</v>
      </c>
      <c r="AI107" s="19">
        <f t="shared" si="47"/>
        <v>1.7664250538333448</v>
      </c>
      <c r="AJ107" s="19">
        <f t="shared" si="36"/>
        <v>0</v>
      </c>
      <c r="AK107" s="19">
        <f t="shared" si="48"/>
        <v>58.055754403641686</v>
      </c>
      <c r="AL107" s="23">
        <f t="shared" si="49"/>
        <v>977.35275440364171</v>
      </c>
      <c r="AM107" s="22">
        <f>(1/(2*LOG(3.7*($I107-0.008)/'Calculation Constants'!$B$5*1000)))^2</f>
        <v>1.4709705891825043E-2</v>
      </c>
      <c r="AN107" s="19">
        <f t="shared" si="50"/>
        <v>2.1543104841910781</v>
      </c>
      <c r="AO107" s="19">
        <f>IF($H107&gt;0,'Calculation Constants'!$B$9*Hydraulics!$K107^2/2/9.81/MAX($F$4:$F$253)*$H107,"")</f>
        <v>7.8734226558858159E-2</v>
      </c>
      <c r="AP107" s="19">
        <f t="shared" si="51"/>
        <v>2.2330447107499363</v>
      </c>
      <c r="AQ107" s="19">
        <f t="shared" si="37"/>
        <v>0</v>
      </c>
      <c r="AR107" s="19">
        <f t="shared" si="52"/>
        <v>22.825319553132999</v>
      </c>
      <c r="AS107" s="23">
        <f t="shared" si="53"/>
        <v>942.12231955313302</v>
      </c>
    </row>
    <row r="108" spans="5:45">
      <c r="E108" s="35" t="str">
        <f t="shared" si="38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4"/>
        <v>2</v>
      </c>
      <c r="I108" s="19">
        <v>1.8</v>
      </c>
      <c r="J108" s="36">
        <f>'Flow Rate Calculations'!$B$7</f>
        <v>4.0831050228310497</v>
      </c>
      <c r="K108" s="36">
        <f t="shared" si="39"/>
        <v>1.6045588828318709</v>
      </c>
      <c r="L108" s="37">
        <f>$I108*$K108/'Calculation Constants'!$B$7</f>
        <v>2555934.503625989</v>
      </c>
      <c r="M108" s="37">
        <f t="shared" si="40"/>
        <v>194.13700000000006</v>
      </c>
      <c r="N108" s="23">
        <f t="shared" si="41"/>
        <v>89.674405226611157</v>
      </c>
      <c r="O108" s="57">
        <f t="shared" si="29"/>
        <v>194.13700000000006</v>
      </c>
      <c r="P108" s="66">
        <f>MAX(I108*1000/'Calculation Constants'!$B$14,O108*10*I108*1000/2/('Calculation Constants'!$B$12*1000*'Calculation Constants'!$B$13))</f>
        <v>11.648220000000004</v>
      </c>
      <c r="Q108" s="68">
        <f t="shared" si="30"/>
        <v>1027453.18080765</v>
      </c>
      <c r="R108" s="27">
        <f>(1/(2*LOG(3.7*$I108/'Calculation Constants'!$B$2*1000)))^2</f>
        <v>8.7463077071963571E-3</v>
      </c>
      <c r="S108" s="19">
        <f t="shared" si="42"/>
        <v>1.2752477269849725</v>
      </c>
      <c r="T108" s="19">
        <f>IF($H108&gt;0,'Calculation Constants'!$B$9*Hydraulics!$K108^2/2/9.81/MAX($F$4:$F$253)*$H108,"")</f>
        <v>7.8734226558858159E-2</v>
      </c>
      <c r="U108" s="19">
        <f t="shared" si="43"/>
        <v>1.3539819535438307</v>
      </c>
      <c r="V108" s="19">
        <f t="shared" si="31"/>
        <v>0</v>
      </c>
      <c r="W108" s="19">
        <f t="shared" si="32"/>
        <v>89.674405226611157</v>
      </c>
      <c r="X108" s="23">
        <f t="shared" si="44"/>
        <v>1007.2074052266112</v>
      </c>
      <c r="Y108" s="22">
        <f>(1/(2*LOG(3.7*$I108/'Calculation Constants'!$B$3*1000)))^2</f>
        <v>9.8211436332891755E-3</v>
      </c>
      <c r="Z108" s="19">
        <f t="shared" si="33"/>
        <v>1.431963236834217</v>
      </c>
      <c r="AA108" s="19">
        <f>IF($H108&gt;0,'Calculation Constants'!$B$9*Hydraulics!$K108^2/2/9.81/MAX($F$4:$F$253)*$H108,"")</f>
        <v>7.8734226558858159E-2</v>
      </c>
      <c r="AB108" s="19">
        <f t="shared" si="55"/>
        <v>1.5106974633930752</v>
      </c>
      <c r="AC108" s="19">
        <f t="shared" si="34"/>
        <v>0</v>
      </c>
      <c r="AD108" s="19">
        <f t="shared" si="45"/>
        <v>77.654313185241222</v>
      </c>
      <c r="AE108" s="23">
        <f t="shared" si="46"/>
        <v>995.18731318524124</v>
      </c>
      <c r="AF108" s="27">
        <f>(1/(2*LOG(3.7*$I108/'Calculation Constants'!$B$4*1000)))^2</f>
        <v>1.1575055557914658E-2</v>
      </c>
      <c r="AG108" s="19">
        <f t="shared" si="35"/>
        <v>1.6876908272744866</v>
      </c>
      <c r="AH108" s="19">
        <f>IF($H108&gt;0,'Calculation Constants'!$B$9*Hydraulics!$K108^2/2/9.81/MAX($F$4:$F$253)*$H108,"")</f>
        <v>7.8734226558858159E-2</v>
      </c>
      <c r="AI108" s="19">
        <f t="shared" si="47"/>
        <v>1.7664250538333448</v>
      </c>
      <c r="AJ108" s="19">
        <f t="shared" si="36"/>
        <v>0</v>
      </c>
      <c r="AK108" s="19">
        <f t="shared" si="48"/>
        <v>58.053329349808337</v>
      </c>
      <c r="AL108" s="23">
        <f t="shared" si="49"/>
        <v>975.58632934980835</v>
      </c>
      <c r="AM108" s="22">
        <f>(1/(2*LOG(3.7*($I108-0.008)/'Calculation Constants'!$B$5*1000)))^2</f>
        <v>1.4709705891825043E-2</v>
      </c>
      <c r="AN108" s="19">
        <f t="shared" si="50"/>
        <v>2.1543104841910781</v>
      </c>
      <c r="AO108" s="19">
        <f>IF($H108&gt;0,'Calculation Constants'!$B$9*Hydraulics!$K108^2/2/9.81/MAX($F$4:$F$253)*$H108,"")</f>
        <v>7.8734226558858159E-2</v>
      </c>
      <c r="AP108" s="19">
        <f t="shared" si="51"/>
        <v>2.2330447107499363</v>
      </c>
      <c r="AQ108" s="19">
        <f t="shared" si="37"/>
        <v>0</v>
      </c>
      <c r="AR108" s="19">
        <f t="shared" si="52"/>
        <v>22.356274842383073</v>
      </c>
      <c r="AS108" s="23">
        <f t="shared" si="53"/>
        <v>939.88927484238309</v>
      </c>
    </row>
    <row r="109" spans="5:45">
      <c r="E109" s="35" t="str">
        <f t="shared" si="38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4"/>
        <v>2</v>
      </c>
      <c r="I109" s="19">
        <v>1.8</v>
      </c>
      <c r="J109" s="36">
        <f>'Flow Rate Calculations'!$B$7</f>
        <v>4.0831050228310497</v>
      </c>
      <c r="K109" s="36">
        <f t="shared" si="39"/>
        <v>1.6045588828318709</v>
      </c>
      <c r="L109" s="37">
        <f>$I109*$K109/'Calculation Constants'!$B$7</f>
        <v>2555934.503625989</v>
      </c>
      <c r="M109" s="37">
        <f t="shared" si="40"/>
        <v>193.9860000000001</v>
      </c>
      <c r="N109" s="23">
        <f t="shared" si="41"/>
        <v>88.169423273067423</v>
      </c>
      <c r="O109" s="57">
        <f t="shared" si="29"/>
        <v>193.9860000000001</v>
      </c>
      <c r="P109" s="66">
        <f>MAX(I109*1000/'Calculation Constants'!$B$14,O109*10*I109*1000/2/('Calculation Constants'!$B$12*1000*'Calculation Constants'!$B$13))</f>
        <v>11.639160000000006</v>
      </c>
      <c r="Q109" s="68">
        <f t="shared" si="30"/>
        <v>1026659.2275958136</v>
      </c>
      <c r="R109" s="27">
        <f>(1/(2*LOG(3.7*$I109/'Calculation Constants'!$B$2*1000)))^2</f>
        <v>8.7463077071963571E-3</v>
      </c>
      <c r="S109" s="19">
        <f t="shared" si="42"/>
        <v>1.2752477269849725</v>
      </c>
      <c r="T109" s="19">
        <f>IF($H109&gt;0,'Calculation Constants'!$B$9*Hydraulics!$K109^2/2/9.81/MAX($F$4:$F$253)*$H109,"")</f>
        <v>7.8734226558858159E-2</v>
      </c>
      <c r="U109" s="19">
        <f t="shared" si="43"/>
        <v>1.3539819535438307</v>
      </c>
      <c r="V109" s="19">
        <f t="shared" si="31"/>
        <v>0</v>
      </c>
      <c r="W109" s="19">
        <f t="shared" si="32"/>
        <v>88.169423273067423</v>
      </c>
      <c r="X109" s="23">
        <f t="shared" si="44"/>
        <v>1005.8534232730674</v>
      </c>
      <c r="Y109" s="22">
        <f>(1/(2*LOG(3.7*$I109/'Calculation Constants'!$B$3*1000)))^2</f>
        <v>9.8211436332891755E-3</v>
      </c>
      <c r="Z109" s="19">
        <f t="shared" si="33"/>
        <v>1.431963236834217</v>
      </c>
      <c r="AA109" s="19">
        <f>IF($H109&gt;0,'Calculation Constants'!$B$9*Hydraulics!$K109^2/2/9.81/MAX($F$4:$F$253)*$H109,"")</f>
        <v>7.8734226558858159E-2</v>
      </c>
      <c r="AB109" s="19">
        <f t="shared" si="55"/>
        <v>1.5106974633930752</v>
      </c>
      <c r="AC109" s="19">
        <f t="shared" si="34"/>
        <v>0</v>
      </c>
      <c r="AD109" s="19">
        <f t="shared" si="45"/>
        <v>75.99261572184821</v>
      </c>
      <c r="AE109" s="23">
        <f t="shared" si="46"/>
        <v>993.67661572184818</v>
      </c>
      <c r="AF109" s="27">
        <f>(1/(2*LOG(3.7*$I109/'Calculation Constants'!$B$4*1000)))^2</f>
        <v>1.1575055557914658E-2</v>
      </c>
      <c r="AG109" s="19">
        <f t="shared" si="35"/>
        <v>1.6876908272744866</v>
      </c>
      <c r="AH109" s="19">
        <f>IF($H109&gt;0,'Calculation Constants'!$B$9*Hydraulics!$K109^2/2/9.81/MAX($F$4:$F$253)*$H109,"")</f>
        <v>7.8734226558858159E-2</v>
      </c>
      <c r="AI109" s="19">
        <f t="shared" si="47"/>
        <v>1.7664250538333448</v>
      </c>
      <c r="AJ109" s="19">
        <f t="shared" si="36"/>
        <v>0</v>
      </c>
      <c r="AK109" s="19">
        <f t="shared" si="48"/>
        <v>56.135904295975024</v>
      </c>
      <c r="AL109" s="23">
        <f t="shared" si="49"/>
        <v>973.81990429597499</v>
      </c>
      <c r="AM109" s="22">
        <f>(1/(2*LOG(3.7*($I109-0.008)/'Calculation Constants'!$B$5*1000)))^2</f>
        <v>1.4709705891825043E-2</v>
      </c>
      <c r="AN109" s="19">
        <f t="shared" si="50"/>
        <v>2.1543104841910781</v>
      </c>
      <c r="AO109" s="19">
        <f>IF($H109&gt;0,'Calculation Constants'!$B$9*Hydraulics!$K109^2/2/9.81/MAX($F$4:$F$253)*$H109,"")</f>
        <v>7.8734226558858159E-2</v>
      </c>
      <c r="AP109" s="19">
        <f t="shared" si="51"/>
        <v>2.2330447107499363</v>
      </c>
      <c r="AQ109" s="19">
        <f t="shared" si="37"/>
        <v>0</v>
      </c>
      <c r="AR109" s="19">
        <f t="shared" si="52"/>
        <v>19.972230131633182</v>
      </c>
      <c r="AS109" s="23">
        <f t="shared" si="53"/>
        <v>937.65623013163315</v>
      </c>
    </row>
    <row r="110" spans="5:45">
      <c r="E110" s="35" t="str">
        <f t="shared" si="38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4"/>
        <v>2</v>
      </c>
      <c r="I110" s="19">
        <v>1.8</v>
      </c>
      <c r="J110" s="36">
        <f>'Flow Rate Calculations'!$B$7</f>
        <v>4.0831050228310497</v>
      </c>
      <c r="K110" s="36">
        <f t="shared" si="39"/>
        <v>1.6045588828318709</v>
      </c>
      <c r="L110" s="37">
        <f>$I110*$K110/'Calculation Constants'!$B$7</f>
        <v>2555934.503625989</v>
      </c>
      <c r="M110" s="37">
        <f t="shared" si="40"/>
        <v>195.94600000000003</v>
      </c>
      <c r="N110" s="23">
        <f t="shared" si="41"/>
        <v>88.775441319523566</v>
      </c>
      <c r="O110" s="57">
        <f t="shared" si="29"/>
        <v>195.94600000000003</v>
      </c>
      <c r="P110" s="66">
        <f>MAX(I110*1000/'Calculation Constants'!$B$14,O110*10*I110*1000/2/('Calculation Constants'!$B$12*1000*'Calculation Constants'!$B$13))</f>
        <v>11.756760000000003</v>
      </c>
      <c r="Q110" s="68">
        <f t="shared" si="30"/>
        <v>1036964.2158709641</v>
      </c>
      <c r="R110" s="27">
        <f>(1/(2*LOG(3.7*$I110/'Calculation Constants'!$B$2*1000)))^2</f>
        <v>8.7463077071963571E-3</v>
      </c>
      <c r="S110" s="19">
        <f t="shared" si="42"/>
        <v>1.2752477269849725</v>
      </c>
      <c r="T110" s="19">
        <f>IF($H110&gt;0,'Calculation Constants'!$B$9*Hydraulics!$K110^2/2/9.81/MAX($F$4:$F$253)*$H110,"")</f>
        <v>7.8734226558858159E-2</v>
      </c>
      <c r="U110" s="19">
        <f t="shared" si="43"/>
        <v>1.3539819535438307</v>
      </c>
      <c r="V110" s="19">
        <f t="shared" si="31"/>
        <v>0</v>
      </c>
      <c r="W110" s="19">
        <f t="shared" si="32"/>
        <v>88.775441319523566</v>
      </c>
      <c r="X110" s="23">
        <f t="shared" si="44"/>
        <v>1004.4994413195236</v>
      </c>
      <c r="Y110" s="22">
        <f>(1/(2*LOG(3.7*$I110/'Calculation Constants'!$B$3*1000)))^2</f>
        <v>9.8211436332891755E-3</v>
      </c>
      <c r="Z110" s="19">
        <f t="shared" si="33"/>
        <v>1.431963236834217</v>
      </c>
      <c r="AA110" s="19">
        <f>IF($H110&gt;0,'Calculation Constants'!$B$9*Hydraulics!$K110^2/2/9.81/MAX($F$4:$F$253)*$H110,"")</f>
        <v>7.8734226558858159E-2</v>
      </c>
      <c r="AB110" s="19">
        <f t="shared" si="55"/>
        <v>1.5106974633930752</v>
      </c>
      <c r="AC110" s="19">
        <f t="shared" si="34"/>
        <v>0</v>
      </c>
      <c r="AD110" s="19">
        <f t="shared" si="45"/>
        <v>76.441918258455075</v>
      </c>
      <c r="AE110" s="23">
        <f t="shared" si="46"/>
        <v>992.16591825845512</v>
      </c>
      <c r="AF110" s="27">
        <f>(1/(2*LOG(3.7*$I110/'Calculation Constants'!$B$4*1000)))^2</f>
        <v>1.1575055557914658E-2</v>
      </c>
      <c r="AG110" s="19">
        <f t="shared" si="35"/>
        <v>1.6876908272744866</v>
      </c>
      <c r="AH110" s="19">
        <f>IF($H110&gt;0,'Calculation Constants'!$B$9*Hydraulics!$K110^2/2/9.81/MAX($F$4:$F$253)*$H110,"")</f>
        <v>7.8734226558858159E-2</v>
      </c>
      <c r="AI110" s="19">
        <f t="shared" si="47"/>
        <v>1.7664250538333448</v>
      </c>
      <c r="AJ110" s="19">
        <f t="shared" si="36"/>
        <v>0</v>
      </c>
      <c r="AK110" s="19">
        <f t="shared" si="48"/>
        <v>56.329479242141588</v>
      </c>
      <c r="AL110" s="23">
        <f t="shared" si="49"/>
        <v>972.05347924214163</v>
      </c>
      <c r="AM110" s="22">
        <f>(1/(2*LOG(3.7*($I110-0.008)/'Calculation Constants'!$B$5*1000)))^2</f>
        <v>1.4709705891825043E-2</v>
      </c>
      <c r="AN110" s="19">
        <f t="shared" si="50"/>
        <v>2.1543104841910781</v>
      </c>
      <c r="AO110" s="19">
        <f>IF($H110&gt;0,'Calculation Constants'!$B$9*Hydraulics!$K110^2/2/9.81/MAX($F$4:$F$253)*$H110,"")</f>
        <v>7.8734226558858159E-2</v>
      </c>
      <c r="AP110" s="19">
        <f t="shared" si="51"/>
        <v>2.2330447107499363</v>
      </c>
      <c r="AQ110" s="19">
        <f t="shared" si="37"/>
        <v>0</v>
      </c>
      <c r="AR110" s="19">
        <f t="shared" si="52"/>
        <v>19.699185420883168</v>
      </c>
      <c r="AS110" s="23">
        <f t="shared" si="53"/>
        <v>935.42318542088321</v>
      </c>
    </row>
    <row r="111" spans="5:45">
      <c r="E111" s="35" t="str">
        <f t="shared" si="38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4"/>
        <v>2</v>
      </c>
      <c r="I111" s="19">
        <v>1.8</v>
      </c>
      <c r="J111" s="36">
        <f>'Flow Rate Calculations'!$B$7</f>
        <v>4.0831050228310497</v>
      </c>
      <c r="K111" s="36">
        <f t="shared" si="39"/>
        <v>1.6045588828318709</v>
      </c>
      <c r="L111" s="37">
        <f>$I111*$K111/'Calculation Constants'!$B$7</f>
        <v>2555934.503625989</v>
      </c>
      <c r="M111" s="37">
        <f t="shared" si="40"/>
        <v>195.94000000000005</v>
      </c>
      <c r="N111" s="23">
        <f t="shared" si="41"/>
        <v>87.415459365979814</v>
      </c>
      <c r="O111" s="57">
        <f t="shared" si="29"/>
        <v>195.94000000000005</v>
      </c>
      <c r="P111" s="66">
        <f>MAX(I111*1000/'Calculation Constants'!$B$14,O111*10*I111*1000/2/('Calculation Constants'!$B$12*1000*'Calculation Constants'!$B$13))</f>
        <v>11.756400000000003</v>
      </c>
      <c r="Q111" s="68">
        <f t="shared" si="30"/>
        <v>1036932.672070229</v>
      </c>
      <c r="R111" s="27">
        <f>(1/(2*LOG(3.7*$I111/'Calculation Constants'!$B$2*1000)))^2</f>
        <v>8.7463077071963571E-3</v>
      </c>
      <c r="S111" s="19">
        <f t="shared" si="42"/>
        <v>1.2752477269849725</v>
      </c>
      <c r="T111" s="19">
        <f>IF($H111&gt;0,'Calculation Constants'!$B$9*Hydraulics!$K111^2/2/9.81/MAX($F$4:$F$253)*$H111,"")</f>
        <v>7.8734226558858159E-2</v>
      </c>
      <c r="U111" s="19">
        <f t="shared" si="43"/>
        <v>1.3539819535438307</v>
      </c>
      <c r="V111" s="19">
        <f t="shared" si="31"/>
        <v>0</v>
      </c>
      <c r="W111" s="19">
        <f t="shared" si="32"/>
        <v>87.415459365979814</v>
      </c>
      <c r="X111" s="23">
        <f t="shared" si="44"/>
        <v>1003.1454593659798</v>
      </c>
      <c r="Y111" s="22">
        <f>(1/(2*LOG(3.7*$I111/'Calculation Constants'!$B$3*1000)))^2</f>
        <v>9.8211436332891755E-3</v>
      </c>
      <c r="Z111" s="19">
        <f t="shared" si="33"/>
        <v>1.431963236834217</v>
      </c>
      <c r="AA111" s="19">
        <f>IF($H111&gt;0,'Calculation Constants'!$B$9*Hydraulics!$K111^2/2/9.81/MAX($F$4:$F$253)*$H111,"")</f>
        <v>7.8734226558858159E-2</v>
      </c>
      <c r="AB111" s="19">
        <f t="shared" si="55"/>
        <v>1.5106974633930752</v>
      </c>
      <c r="AC111" s="19">
        <f t="shared" si="34"/>
        <v>0</v>
      </c>
      <c r="AD111" s="19">
        <f t="shared" si="45"/>
        <v>74.925220795062046</v>
      </c>
      <c r="AE111" s="23">
        <f t="shared" si="46"/>
        <v>990.65522079506206</v>
      </c>
      <c r="AF111" s="27">
        <f>(1/(2*LOG(3.7*$I111/'Calculation Constants'!$B$4*1000)))^2</f>
        <v>1.1575055557914658E-2</v>
      </c>
      <c r="AG111" s="19">
        <f t="shared" si="35"/>
        <v>1.6876908272744866</v>
      </c>
      <c r="AH111" s="19">
        <f>IF($H111&gt;0,'Calculation Constants'!$B$9*Hydraulics!$K111^2/2/9.81/MAX($F$4:$F$253)*$H111,"")</f>
        <v>7.8734226558858159E-2</v>
      </c>
      <c r="AI111" s="19">
        <f t="shared" si="47"/>
        <v>1.7664250538333448</v>
      </c>
      <c r="AJ111" s="19">
        <f t="shared" si="36"/>
        <v>0</v>
      </c>
      <c r="AK111" s="19">
        <f t="shared" si="48"/>
        <v>54.557054188308257</v>
      </c>
      <c r="AL111" s="23">
        <f t="shared" si="49"/>
        <v>970.28705418830828</v>
      </c>
      <c r="AM111" s="22">
        <f>(1/(2*LOG(3.7*($I111-0.008)/'Calculation Constants'!$B$5*1000)))^2</f>
        <v>1.4709705891825043E-2</v>
      </c>
      <c r="AN111" s="19">
        <f t="shared" si="50"/>
        <v>2.1543104841910781</v>
      </c>
      <c r="AO111" s="19">
        <f>IF($H111&gt;0,'Calculation Constants'!$B$9*Hydraulics!$K111^2/2/9.81/MAX($F$4:$F$253)*$H111,"")</f>
        <v>7.8734226558858159E-2</v>
      </c>
      <c r="AP111" s="19">
        <f t="shared" si="51"/>
        <v>2.2330447107499363</v>
      </c>
      <c r="AQ111" s="19">
        <f t="shared" si="37"/>
        <v>0</v>
      </c>
      <c r="AR111" s="19">
        <f t="shared" si="52"/>
        <v>17.46014071013326</v>
      </c>
      <c r="AS111" s="23">
        <f t="shared" si="53"/>
        <v>933.19014071013328</v>
      </c>
    </row>
    <row r="112" spans="5:45">
      <c r="E112" s="35" t="str">
        <f t="shared" si="38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4"/>
        <v>2</v>
      </c>
      <c r="I112" s="19">
        <v>1.8</v>
      </c>
      <c r="J112" s="36">
        <f>'Flow Rate Calculations'!$B$7</f>
        <v>4.0831050228310497</v>
      </c>
      <c r="K112" s="36">
        <f t="shared" si="39"/>
        <v>1.6045588828318709</v>
      </c>
      <c r="L112" s="37">
        <f>$I112*$K112/'Calculation Constants'!$B$7</f>
        <v>2555934.503625989</v>
      </c>
      <c r="M112" s="37">
        <f t="shared" si="40"/>
        <v>196.08600000000013</v>
      </c>
      <c r="N112" s="23">
        <f t="shared" si="41"/>
        <v>86.207477412436106</v>
      </c>
      <c r="O112" s="57">
        <f t="shared" si="29"/>
        <v>196.08600000000013</v>
      </c>
      <c r="P112" s="66">
        <f>MAX(I112*1000/'Calculation Constants'!$B$14,O112*10*I112*1000/2/('Calculation Constants'!$B$12*1000*'Calculation Constants'!$B$13))</f>
        <v>11.765160000000007</v>
      </c>
      <c r="Q112" s="68">
        <f t="shared" si="30"/>
        <v>1037700.2342585765</v>
      </c>
      <c r="R112" s="27">
        <f>(1/(2*LOG(3.7*$I112/'Calculation Constants'!$B$2*1000)))^2</f>
        <v>8.7463077071963571E-3</v>
      </c>
      <c r="S112" s="19">
        <f t="shared" si="42"/>
        <v>1.2752477269849725</v>
      </c>
      <c r="T112" s="19">
        <f>IF($H112&gt;0,'Calculation Constants'!$B$9*Hydraulics!$K112^2/2/9.81/MAX($F$4:$F$253)*$H112,"")</f>
        <v>7.8734226558858159E-2</v>
      </c>
      <c r="U112" s="19">
        <f t="shared" si="43"/>
        <v>1.3539819535438307</v>
      </c>
      <c r="V112" s="19">
        <f t="shared" si="31"/>
        <v>0</v>
      </c>
      <c r="W112" s="19">
        <f t="shared" si="32"/>
        <v>86.207477412436106</v>
      </c>
      <c r="X112" s="23">
        <f t="shared" si="44"/>
        <v>1001.7914774124361</v>
      </c>
      <c r="Y112" s="22">
        <f>(1/(2*LOG(3.7*$I112/'Calculation Constants'!$B$3*1000)))^2</f>
        <v>9.8211436332891755E-3</v>
      </c>
      <c r="Z112" s="19">
        <f t="shared" si="33"/>
        <v>1.431963236834217</v>
      </c>
      <c r="AA112" s="19">
        <f>IF($H112&gt;0,'Calculation Constants'!$B$9*Hydraulics!$K112^2/2/9.81/MAX($F$4:$F$253)*$H112,"")</f>
        <v>7.8734226558858159E-2</v>
      </c>
      <c r="AB112" s="19">
        <f t="shared" si="55"/>
        <v>1.5106974633930752</v>
      </c>
      <c r="AC112" s="19">
        <f t="shared" si="34"/>
        <v>0</v>
      </c>
      <c r="AD112" s="19">
        <f t="shared" si="45"/>
        <v>73.56052333166906</v>
      </c>
      <c r="AE112" s="23">
        <f t="shared" si="46"/>
        <v>989.14452333166901</v>
      </c>
      <c r="AF112" s="27">
        <f>(1/(2*LOG(3.7*$I112/'Calculation Constants'!$B$4*1000)))^2</f>
        <v>1.1575055557914658E-2</v>
      </c>
      <c r="AG112" s="19">
        <f t="shared" si="35"/>
        <v>1.6876908272744866</v>
      </c>
      <c r="AH112" s="19">
        <f>IF($H112&gt;0,'Calculation Constants'!$B$9*Hydraulics!$K112^2/2/9.81/MAX($F$4:$F$253)*$H112,"")</f>
        <v>7.8734226558858159E-2</v>
      </c>
      <c r="AI112" s="19">
        <f t="shared" si="47"/>
        <v>1.7664250538333448</v>
      </c>
      <c r="AJ112" s="19">
        <f t="shared" si="36"/>
        <v>0</v>
      </c>
      <c r="AK112" s="19">
        <f t="shared" si="48"/>
        <v>52.93662913447497</v>
      </c>
      <c r="AL112" s="23">
        <f t="shared" si="49"/>
        <v>968.52062913447492</v>
      </c>
      <c r="AM112" s="22">
        <f>(1/(2*LOG(3.7*($I112-0.008)/'Calculation Constants'!$B$5*1000)))^2</f>
        <v>1.4709705891825043E-2</v>
      </c>
      <c r="AN112" s="19">
        <f t="shared" si="50"/>
        <v>2.1543104841910781</v>
      </c>
      <c r="AO112" s="19">
        <f>IF($H112&gt;0,'Calculation Constants'!$B$9*Hydraulics!$K112^2/2/9.81/MAX($F$4:$F$253)*$H112,"")</f>
        <v>7.8734226558858159E-2</v>
      </c>
      <c r="AP112" s="19">
        <f t="shared" si="51"/>
        <v>2.2330447107499363</v>
      </c>
      <c r="AQ112" s="19">
        <f t="shared" si="37"/>
        <v>0</v>
      </c>
      <c r="AR112" s="19">
        <f t="shared" si="52"/>
        <v>15.373095999383395</v>
      </c>
      <c r="AS112" s="23">
        <f t="shared" si="53"/>
        <v>930.95709599938334</v>
      </c>
    </row>
    <row r="113" spans="5:45">
      <c r="E113" s="35" t="str">
        <f t="shared" si="38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4"/>
        <v>2</v>
      </c>
      <c r="I113" s="19">
        <v>1.8</v>
      </c>
      <c r="J113" s="36">
        <f>'Flow Rate Calculations'!$B$7</f>
        <v>4.0831050228310497</v>
      </c>
      <c r="K113" s="36">
        <f t="shared" si="39"/>
        <v>1.6045588828318709</v>
      </c>
      <c r="L113" s="37">
        <f>$I113*$K113/'Calculation Constants'!$B$7</f>
        <v>2555934.503625989</v>
      </c>
      <c r="M113" s="37">
        <f t="shared" si="40"/>
        <v>196.22600000000011</v>
      </c>
      <c r="N113" s="23">
        <f t="shared" si="41"/>
        <v>84.993495458892312</v>
      </c>
      <c r="O113" s="57">
        <f t="shared" si="29"/>
        <v>196.22600000000011</v>
      </c>
      <c r="P113" s="66">
        <f>MAX(I113*1000/'Calculation Constants'!$B$14,O113*10*I113*1000/2/('Calculation Constants'!$B$12*1000*'Calculation Constants'!$B$13))</f>
        <v>11.773560000000007</v>
      </c>
      <c r="Q113" s="68">
        <f t="shared" si="30"/>
        <v>1038436.2456857221</v>
      </c>
      <c r="R113" s="27">
        <f>(1/(2*LOG(3.7*$I113/'Calculation Constants'!$B$2*1000)))^2</f>
        <v>8.7463077071963571E-3</v>
      </c>
      <c r="S113" s="19">
        <f t="shared" si="42"/>
        <v>1.2752477269849725</v>
      </c>
      <c r="T113" s="19">
        <f>IF($H113&gt;0,'Calculation Constants'!$B$9*Hydraulics!$K113^2/2/9.81/MAX($F$4:$F$253)*$H113,"")</f>
        <v>7.8734226558858159E-2</v>
      </c>
      <c r="U113" s="19">
        <f t="shared" si="43"/>
        <v>1.3539819535438307</v>
      </c>
      <c r="V113" s="19">
        <f t="shared" si="31"/>
        <v>0</v>
      </c>
      <c r="W113" s="19">
        <f t="shared" si="32"/>
        <v>84.993495458892312</v>
      </c>
      <c r="X113" s="23">
        <f t="shared" si="44"/>
        <v>1000.4374954588923</v>
      </c>
      <c r="Y113" s="22">
        <f>(1/(2*LOG(3.7*$I113/'Calculation Constants'!$B$3*1000)))^2</f>
        <v>9.8211436332891755E-3</v>
      </c>
      <c r="Z113" s="19">
        <f t="shared" si="33"/>
        <v>1.431963236834217</v>
      </c>
      <c r="AA113" s="19">
        <f>IF($H113&gt;0,'Calculation Constants'!$B$9*Hydraulics!$K113^2/2/9.81/MAX($F$4:$F$253)*$H113,"")</f>
        <v>7.8734226558858159E-2</v>
      </c>
      <c r="AB113" s="19">
        <f t="shared" si="55"/>
        <v>1.5106974633930752</v>
      </c>
      <c r="AC113" s="19">
        <f t="shared" si="34"/>
        <v>0</v>
      </c>
      <c r="AD113" s="19">
        <f t="shared" si="45"/>
        <v>72.189825868275989</v>
      </c>
      <c r="AE113" s="23">
        <f t="shared" si="46"/>
        <v>987.63382586827595</v>
      </c>
      <c r="AF113" s="27">
        <f>(1/(2*LOG(3.7*$I113/'Calculation Constants'!$B$4*1000)))^2</f>
        <v>1.1575055557914658E-2</v>
      </c>
      <c r="AG113" s="19">
        <f t="shared" si="35"/>
        <v>1.6876908272744866</v>
      </c>
      <c r="AH113" s="19">
        <f>IF($H113&gt;0,'Calculation Constants'!$B$9*Hydraulics!$K113^2/2/9.81/MAX($F$4:$F$253)*$H113,"")</f>
        <v>7.8734226558858159E-2</v>
      </c>
      <c r="AI113" s="19">
        <f t="shared" si="47"/>
        <v>1.7664250538333448</v>
      </c>
      <c r="AJ113" s="19">
        <f t="shared" si="36"/>
        <v>0</v>
      </c>
      <c r="AK113" s="19">
        <f t="shared" si="48"/>
        <v>51.310204080641597</v>
      </c>
      <c r="AL113" s="23">
        <f t="shared" si="49"/>
        <v>966.75420408064156</v>
      </c>
      <c r="AM113" s="22">
        <f>(1/(2*LOG(3.7*($I113-0.008)/'Calculation Constants'!$B$5*1000)))^2</f>
        <v>1.4709705891825043E-2</v>
      </c>
      <c r="AN113" s="19">
        <f t="shared" si="50"/>
        <v>2.1543104841910781</v>
      </c>
      <c r="AO113" s="19">
        <f>IF($H113&gt;0,'Calculation Constants'!$B$9*Hydraulics!$K113^2/2/9.81/MAX($F$4:$F$253)*$H113,"")</f>
        <v>7.8734226558858159E-2</v>
      </c>
      <c r="AP113" s="19">
        <f t="shared" si="51"/>
        <v>2.2330447107499363</v>
      </c>
      <c r="AQ113" s="19">
        <f t="shared" si="37"/>
        <v>0</v>
      </c>
      <c r="AR113" s="19">
        <f t="shared" si="52"/>
        <v>13.280051288633445</v>
      </c>
      <c r="AS113" s="23">
        <f t="shared" si="53"/>
        <v>928.7240512886334</v>
      </c>
    </row>
    <row r="114" spans="5:45">
      <c r="E114" s="35" t="str">
        <f t="shared" si="38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4"/>
        <v>2</v>
      </c>
      <c r="I114" s="19">
        <v>1.8</v>
      </c>
      <c r="J114" s="36">
        <f>'Flow Rate Calculations'!$B$7</f>
        <v>4.0831050228310497</v>
      </c>
      <c r="K114" s="36">
        <f t="shared" si="39"/>
        <v>1.6045588828318709</v>
      </c>
      <c r="L114" s="37">
        <f>$I114*$K114/'Calculation Constants'!$B$7</f>
        <v>2555934.503625989</v>
      </c>
      <c r="M114" s="37">
        <f t="shared" si="40"/>
        <v>198.15000000000009</v>
      </c>
      <c r="N114" s="23">
        <f t="shared" si="41"/>
        <v>85.56351350534851</v>
      </c>
      <c r="O114" s="57">
        <f t="shared" si="29"/>
        <v>198.15000000000009</v>
      </c>
      <c r="P114" s="66">
        <f>MAX(I114*1000/'Calculation Constants'!$B$14,O114*10*I114*1000/2/('Calculation Constants'!$B$12*1000*'Calculation Constants'!$B$13))</f>
        <v>11.889000000000006</v>
      </c>
      <c r="Q114" s="68">
        <f t="shared" si="30"/>
        <v>1048550.4404584797</v>
      </c>
      <c r="R114" s="27">
        <f>(1/(2*LOG(3.7*$I114/'Calculation Constants'!$B$2*1000)))^2</f>
        <v>8.7463077071963571E-3</v>
      </c>
      <c r="S114" s="19">
        <f t="shared" si="42"/>
        <v>1.2752477269849725</v>
      </c>
      <c r="T114" s="19">
        <f>IF($H114&gt;0,'Calculation Constants'!$B$9*Hydraulics!$K114^2/2/9.81/MAX($F$4:$F$253)*$H114,"")</f>
        <v>7.8734226558858159E-2</v>
      </c>
      <c r="U114" s="19">
        <f t="shared" si="43"/>
        <v>1.3539819535438307</v>
      </c>
      <c r="V114" s="19">
        <f t="shared" si="31"/>
        <v>0</v>
      </c>
      <c r="W114" s="19">
        <f t="shared" si="32"/>
        <v>85.56351350534851</v>
      </c>
      <c r="X114" s="23">
        <f t="shared" si="44"/>
        <v>999.08351350534849</v>
      </c>
      <c r="Y114" s="22">
        <f>(1/(2*LOG(3.7*$I114/'Calculation Constants'!$B$3*1000)))^2</f>
        <v>9.8211436332891755E-3</v>
      </c>
      <c r="Z114" s="19">
        <f t="shared" si="33"/>
        <v>1.431963236834217</v>
      </c>
      <c r="AA114" s="19">
        <f>IF($H114&gt;0,'Calculation Constants'!$B$9*Hydraulics!$K114^2/2/9.81/MAX($F$4:$F$253)*$H114,"")</f>
        <v>7.8734226558858159E-2</v>
      </c>
      <c r="AB114" s="19">
        <f t="shared" si="55"/>
        <v>1.5106974633930752</v>
      </c>
      <c r="AC114" s="19">
        <f t="shared" si="34"/>
        <v>0</v>
      </c>
      <c r="AD114" s="19">
        <f t="shared" si="45"/>
        <v>72.603128404882909</v>
      </c>
      <c r="AE114" s="23">
        <f t="shared" si="46"/>
        <v>986.12312840488289</v>
      </c>
      <c r="AF114" s="27">
        <f>(1/(2*LOG(3.7*$I114/'Calculation Constants'!$B$4*1000)))^2</f>
        <v>1.1575055557914658E-2</v>
      </c>
      <c r="AG114" s="19">
        <f t="shared" si="35"/>
        <v>1.6876908272744866</v>
      </c>
      <c r="AH114" s="19">
        <f>IF($H114&gt;0,'Calculation Constants'!$B$9*Hydraulics!$K114^2/2/9.81/MAX($F$4:$F$253)*$H114,"")</f>
        <v>7.8734226558858159E-2</v>
      </c>
      <c r="AI114" s="19">
        <f t="shared" si="47"/>
        <v>1.7664250538333448</v>
      </c>
      <c r="AJ114" s="19">
        <f t="shared" si="36"/>
        <v>0</v>
      </c>
      <c r="AK114" s="19">
        <f t="shared" si="48"/>
        <v>51.467779026808216</v>
      </c>
      <c r="AL114" s="23">
        <f t="shared" si="49"/>
        <v>964.9877790268082</v>
      </c>
      <c r="AM114" s="22">
        <f>(1/(2*LOG(3.7*($I114-0.008)/'Calculation Constants'!$B$5*1000)))^2</f>
        <v>1.4709705891825043E-2</v>
      </c>
      <c r="AN114" s="19">
        <f t="shared" si="50"/>
        <v>2.1543104841910781</v>
      </c>
      <c r="AO114" s="19">
        <f>IF($H114&gt;0,'Calculation Constants'!$B$9*Hydraulics!$K114^2/2/9.81/MAX($F$4:$F$253)*$H114,"")</f>
        <v>7.8734226558858159E-2</v>
      </c>
      <c r="AP114" s="19">
        <f t="shared" si="51"/>
        <v>2.2330447107499363</v>
      </c>
      <c r="AQ114" s="19">
        <f t="shared" si="37"/>
        <v>0</v>
      </c>
      <c r="AR114" s="19">
        <f t="shared" si="52"/>
        <v>12.971006577883486</v>
      </c>
      <c r="AS114" s="23">
        <f t="shared" si="53"/>
        <v>926.49100657788347</v>
      </c>
    </row>
    <row r="115" spans="5:45">
      <c r="E115" s="35" t="str">
        <f t="shared" si="38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4"/>
        <v>2</v>
      </c>
      <c r="I115" s="19">
        <v>1.8</v>
      </c>
      <c r="J115" s="36">
        <f>'Flow Rate Calculations'!$B$7</f>
        <v>4.0831050228310497</v>
      </c>
      <c r="K115" s="36">
        <f t="shared" si="39"/>
        <v>1.6045588828318709</v>
      </c>
      <c r="L115" s="37">
        <f>$I115*$K115/'Calculation Constants'!$B$7</f>
        <v>2555934.503625989</v>
      </c>
      <c r="M115" s="37">
        <f t="shared" si="40"/>
        <v>199.14600000000007</v>
      </c>
      <c r="N115" s="23">
        <f t="shared" si="41"/>
        <v>85.205531551804711</v>
      </c>
      <c r="O115" s="57">
        <f t="shared" si="29"/>
        <v>199.14600000000007</v>
      </c>
      <c r="P115" s="66">
        <f>MAX(I115*1000/'Calculation Constants'!$B$14,O115*10*I115*1000/2/('Calculation Constants'!$B$12*1000*'Calculation Constants'!$B$13))</f>
        <v>11.948760000000005</v>
      </c>
      <c r="Q115" s="68">
        <f t="shared" si="30"/>
        <v>1053785.7546070185</v>
      </c>
      <c r="R115" s="27">
        <f>(1/(2*LOG(3.7*$I115/'Calculation Constants'!$B$2*1000)))^2</f>
        <v>8.7463077071963571E-3</v>
      </c>
      <c r="S115" s="19">
        <f t="shared" si="42"/>
        <v>1.2752477269849725</v>
      </c>
      <c r="T115" s="19">
        <f>IF($H115&gt;0,'Calculation Constants'!$B$9*Hydraulics!$K115^2/2/9.81/MAX($F$4:$F$253)*$H115,"")</f>
        <v>7.8734226558858159E-2</v>
      </c>
      <c r="U115" s="19">
        <f t="shared" si="43"/>
        <v>1.3539819535438307</v>
      </c>
      <c r="V115" s="19">
        <f t="shared" si="31"/>
        <v>0</v>
      </c>
      <c r="W115" s="19">
        <f t="shared" si="32"/>
        <v>85.205531551804711</v>
      </c>
      <c r="X115" s="23">
        <f t="shared" si="44"/>
        <v>997.72953155180471</v>
      </c>
      <c r="Y115" s="22">
        <f>(1/(2*LOG(3.7*$I115/'Calculation Constants'!$B$3*1000)))^2</f>
        <v>9.8211436332891755E-3</v>
      </c>
      <c r="Z115" s="19">
        <f t="shared" si="33"/>
        <v>1.431963236834217</v>
      </c>
      <c r="AA115" s="19">
        <f>IF($H115&gt;0,'Calculation Constants'!$B$9*Hydraulics!$K115^2/2/9.81/MAX($F$4:$F$253)*$H115,"")</f>
        <v>7.8734226558858159E-2</v>
      </c>
      <c r="AB115" s="19">
        <f t="shared" si="55"/>
        <v>1.5106974633930752</v>
      </c>
      <c r="AC115" s="19">
        <f t="shared" si="34"/>
        <v>0</v>
      </c>
      <c r="AD115" s="19">
        <f t="shared" si="45"/>
        <v>72.088430941489833</v>
      </c>
      <c r="AE115" s="23">
        <f t="shared" si="46"/>
        <v>984.61243094148983</v>
      </c>
      <c r="AF115" s="27">
        <f>(1/(2*LOG(3.7*$I115/'Calculation Constants'!$B$4*1000)))^2</f>
        <v>1.1575055557914658E-2</v>
      </c>
      <c r="AG115" s="19">
        <f t="shared" si="35"/>
        <v>1.6876908272744866</v>
      </c>
      <c r="AH115" s="19">
        <f>IF($H115&gt;0,'Calculation Constants'!$B$9*Hydraulics!$K115^2/2/9.81/MAX($F$4:$F$253)*$H115,"")</f>
        <v>7.8734226558858159E-2</v>
      </c>
      <c r="AI115" s="19">
        <f t="shared" si="47"/>
        <v>1.7664250538333448</v>
      </c>
      <c r="AJ115" s="19">
        <f t="shared" si="36"/>
        <v>0</v>
      </c>
      <c r="AK115" s="19">
        <f t="shared" si="48"/>
        <v>50.697353972974838</v>
      </c>
      <c r="AL115" s="23">
        <f t="shared" si="49"/>
        <v>963.22135397297484</v>
      </c>
      <c r="AM115" s="22">
        <f>(1/(2*LOG(3.7*($I115-0.008)/'Calculation Constants'!$B$5*1000)))^2</f>
        <v>1.4709705891825043E-2</v>
      </c>
      <c r="AN115" s="19">
        <f t="shared" si="50"/>
        <v>2.1543104841910781</v>
      </c>
      <c r="AO115" s="19">
        <f>IF($H115&gt;0,'Calculation Constants'!$B$9*Hydraulics!$K115^2/2/9.81/MAX($F$4:$F$253)*$H115,"")</f>
        <v>7.8734226558858159E-2</v>
      </c>
      <c r="AP115" s="19">
        <f t="shared" si="51"/>
        <v>2.2330447107499363</v>
      </c>
      <c r="AQ115" s="19">
        <f t="shared" si="37"/>
        <v>0</v>
      </c>
      <c r="AR115" s="19">
        <f t="shared" si="52"/>
        <v>11.73396186713353</v>
      </c>
      <c r="AS115" s="23">
        <f t="shared" si="53"/>
        <v>924.25796186713353</v>
      </c>
    </row>
    <row r="116" spans="5:45">
      <c r="E116" s="35" t="str">
        <f t="shared" si="38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4"/>
        <v>2</v>
      </c>
      <c r="I116" s="19">
        <v>2</v>
      </c>
      <c r="J116" s="36">
        <f>'Flow Rate Calculations'!$B$7</f>
        <v>4.0831050228310497</v>
      </c>
      <c r="K116" s="36">
        <f t="shared" si="39"/>
        <v>1.2996926950938155</v>
      </c>
      <c r="L116" s="37">
        <f>$I116*$K116/'Calculation Constants'!$B$7</f>
        <v>2300341.0532633904</v>
      </c>
      <c r="M116" s="37">
        <f t="shared" si="40"/>
        <v>199.10500000000002</v>
      </c>
      <c r="N116" s="23">
        <f t="shared" si="41"/>
        <v>84.372579053077516</v>
      </c>
      <c r="O116" s="57">
        <f t="shared" si="29"/>
        <v>199.10500000000002</v>
      </c>
      <c r="P116" s="66">
        <f>MAX(I116*1000/'Calculation Constants'!$B$14,O116*10*I116*1000/2/('Calculation Constants'!$B$12*1000*'Calculation Constants'!$B$13))</f>
        <v>13.273666666666669</v>
      </c>
      <c r="Q116" s="68">
        <f t="shared" si="30"/>
        <v>1300704.0143700256</v>
      </c>
      <c r="R116" s="27">
        <f>(1/(2*LOG(3.7*$I116/'Calculation Constants'!$B$2*1000)))^2</f>
        <v>8.5984950812375404E-3</v>
      </c>
      <c r="S116" s="19">
        <f t="shared" si="42"/>
        <v>0.74029497268187827</v>
      </c>
      <c r="T116" s="19">
        <f>IF($H116&gt;0,'Calculation Constants'!$B$9*Hydraulics!$K116^2/2/9.81/MAX($F$4:$F$253)*$H116,"")</f>
        <v>5.1657526045266834E-2</v>
      </c>
      <c r="U116" s="19">
        <f t="shared" si="43"/>
        <v>0.79195249872714513</v>
      </c>
      <c r="V116" s="19">
        <f t="shared" si="31"/>
        <v>0</v>
      </c>
      <c r="W116" s="19">
        <f t="shared" si="32"/>
        <v>84.372579053077516</v>
      </c>
      <c r="X116" s="23">
        <f t="shared" si="44"/>
        <v>996.93757905307757</v>
      </c>
      <c r="Y116" s="22">
        <f>(1/(2*LOG(3.7*$I116/'Calculation Constants'!$B$3*1000)))^2</f>
        <v>9.645396509476439E-3</v>
      </c>
      <c r="Z116" s="19">
        <f t="shared" si="33"/>
        <v>0.83042886900867496</v>
      </c>
      <c r="AA116" s="19">
        <f>IF($H116&gt;0,'Calculation Constants'!$B$9*Hydraulics!$K116^2/2/9.81/MAX($F$4:$F$253)*$H116,"")</f>
        <v>5.1657526045266834E-2</v>
      </c>
      <c r="AB116" s="19">
        <f t="shared" si="55"/>
        <v>0.88208639505394182</v>
      </c>
      <c r="AC116" s="19">
        <f t="shared" si="34"/>
        <v>0</v>
      </c>
      <c r="AD116" s="19">
        <f t="shared" si="45"/>
        <v>71.16534454643579</v>
      </c>
      <c r="AE116" s="23">
        <f t="shared" si="46"/>
        <v>983.73034454643584</v>
      </c>
      <c r="AF116" s="27">
        <f>(1/(2*LOG(3.7*$I116/'Calculation Constants'!$B$4*1000)))^2</f>
        <v>1.1350445400368435E-2</v>
      </c>
      <c r="AG116" s="19">
        <f t="shared" si="35"/>
        <v>0.97722654815818577</v>
      </c>
      <c r="AH116" s="19">
        <f>IF($H116&gt;0,'Calculation Constants'!$B$9*Hydraulics!$K116^2/2/9.81/MAX($F$4:$F$253)*$H116,"")</f>
        <v>5.1657526045266834E-2</v>
      </c>
      <c r="AI116" s="19">
        <f t="shared" si="47"/>
        <v>1.0288840742034526</v>
      </c>
      <c r="AJ116" s="19">
        <f t="shared" si="36"/>
        <v>0</v>
      </c>
      <c r="AK116" s="19">
        <f t="shared" si="48"/>
        <v>49.627469898771324</v>
      </c>
      <c r="AL116" s="23">
        <f t="shared" si="49"/>
        <v>962.19246989877138</v>
      </c>
      <c r="AM116" s="22">
        <f>(1/(2*LOG(3.7*($I116-0.008)/'Calculation Constants'!$B$5*1000)))^2</f>
        <v>1.4387191027645335E-2</v>
      </c>
      <c r="AN116" s="19">
        <f t="shared" si="50"/>
        <v>1.243652435121851</v>
      </c>
      <c r="AO116" s="19">
        <f>IF($H116&gt;0,'Calculation Constants'!$B$9*Hydraulics!$K116^2/2/9.81/MAX($F$4:$F$253)*$H116,"")</f>
        <v>5.1657526045266834E-2</v>
      </c>
      <c r="AP116" s="19">
        <f t="shared" si="51"/>
        <v>1.2953099611671177</v>
      </c>
      <c r="AQ116" s="19">
        <f t="shared" si="37"/>
        <v>0</v>
      </c>
      <c r="AR116" s="19">
        <f t="shared" si="52"/>
        <v>10.397651905966313</v>
      </c>
      <c r="AS116" s="23">
        <f t="shared" si="53"/>
        <v>922.96265190596637</v>
      </c>
    </row>
    <row r="117" spans="5:45">
      <c r="E117" s="35" t="str">
        <f t="shared" si="38"/>
        <v>Reservoir</v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4"/>
        <v>2</v>
      </c>
      <c r="I117" s="19">
        <v>2</v>
      </c>
      <c r="J117" s="36">
        <f>'Flow Rate Calculations'!$B$7</f>
        <v>4.0831050228310497</v>
      </c>
      <c r="K117" s="36">
        <f t="shared" si="39"/>
        <v>1.2996926950938155</v>
      </c>
      <c r="L117" s="37">
        <f>$I117*$K117/'Calculation Constants'!$B$7</f>
        <v>2300341.0532633904</v>
      </c>
      <c r="M117" s="37" t="str">
        <f t="shared" si="40"/>
        <v>Greater Dynamic Pressures</v>
      </c>
      <c r="N117" s="23">
        <f t="shared" si="41"/>
        <v>10</v>
      </c>
      <c r="O117" s="57">
        <f t="shared" si="29"/>
        <v>129.99999999999989</v>
      </c>
      <c r="P117" s="66">
        <f>MAX(I117*1000/'Calculation Constants'!$B$14,O117*10*I117*1000/2/('Calculation Constants'!$B$12*1000*'Calculation Constants'!$B$13))</f>
        <v>12.5</v>
      </c>
      <c r="Q117" s="68">
        <f t="shared" si="30"/>
        <v>1225368.3970556525</v>
      </c>
      <c r="R117" s="27">
        <f>(1/(2*LOG(3.7*$I117/'Calculation Constants'!$B$2*1000)))^2</f>
        <v>8.5984950812375404E-3</v>
      </c>
      <c r="S117" s="19">
        <f t="shared" si="42"/>
        <v>0.74029497268187827</v>
      </c>
      <c r="T117" s="19">
        <f>IF($H117&gt;0,'Calculation Constants'!$B$9*Hydraulics!$K117^2/2/9.81/MAX($F$4:$F$253)*$H117,"")</f>
        <v>5.1657526045266834E-2</v>
      </c>
      <c r="U117" s="19">
        <f t="shared" si="43"/>
        <v>0.79195249872714513</v>
      </c>
      <c r="V117" s="19">
        <f t="shared" si="31"/>
        <v>120</v>
      </c>
      <c r="W117" s="19">
        <f t="shared" si="32"/>
        <v>10</v>
      </c>
      <c r="X117" s="23">
        <f t="shared" si="44"/>
        <v>1043.4839999999999</v>
      </c>
      <c r="Y117" s="22">
        <f>(1/(2*LOG(3.7*$I117/'Calculation Constants'!$B$3*1000)))^2</f>
        <v>9.645396509476439E-3</v>
      </c>
      <c r="Z117" s="19">
        <f t="shared" si="33"/>
        <v>0.83042886900867496</v>
      </c>
      <c r="AA117" s="19">
        <f>IF($H117&gt;0,'Calculation Constants'!$B$9*Hydraulics!$K117^2/2/9.81/MAX($F$4:$F$253)*$H117,"")</f>
        <v>5.1657526045266834E-2</v>
      </c>
      <c r="AB117" s="19">
        <f t="shared" si="55"/>
        <v>0.88208639505394182</v>
      </c>
      <c r="AC117" s="19">
        <f t="shared" si="34"/>
        <v>120</v>
      </c>
      <c r="AD117" s="19">
        <f t="shared" si="45"/>
        <v>129.99999999999989</v>
      </c>
      <c r="AE117" s="23">
        <f t="shared" si="46"/>
        <v>1043.4839999999999</v>
      </c>
      <c r="AF117" s="27">
        <f>(1/(2*LOG(3.7*$I117/'Calculation Constants'!$B$4*1000)))^2</f>
        <v>1.1350445400368435E-2</v>
      </c>
      <c r="AG117" s="19">
        <f t="shared" si="35"/>
        <v>0.97722654815818577</v>
      </c>
      <c r="AH117" s="19">
        <f>IF($H117&gt;0,'Calculation Constants'!$B$9*Hydraulics!$K117^2/2/9.81/MAX($F$4:$F$253)*$H117,"")</f>
        <v>5.1657526045266834E-2</v>
      </c>
      <c r="AI117" s="19">
        <f t="shared" si="47"/>
        <v>1.0288840742034526</v>
      </c>
      <c r="AJ117" s="19">
        <f t="shared" si="36"/>
        <v>120</v>
      </c>
      <c r="AK117" s="19">
        <f t="shared" si="48"/>
        <v>129.99999999999989</v>
      </c>
      <c r="AL117" s="23">
        <f t="shared" si="49"/>
        <v>1043.4839999999999</v>
      </c>
      <c r="AM117" s="22">
        <f>(1/(2*LOG(3.7*($I117-0.008)/'Calculation Constants'!$B$5*1000)))^2</f>
        <v>1.4387191027645335E-2</v>
      </c>
      <c r="AN117" s="19">
        <f t="shared" si="50"/>
        <v>1.243652435121851</v>
      </c>
      <c r="AO117" s="19">
        <f>IF($H117&gt;0,'Calculation Constants'!$B$9*Hydraulics!$K117^2/2/9.81/MAX($F$4:$F$253)*$H117,"")</f>
        <v>5.1657526045266834E-2</v>
      </c>
      <c r="AP117" s="19">
        <f t="shared" si="51"/>
        <v>1.2953099611671177</v>
      </c>
      <c r="AQ117" s="19">
        <f t="shared" si="37"/>
        <v>120</v>
      </c>
      <c r="AR117" s="19">
        <f t="shared" si="52"/>
        <v>129.99999999999989</v>
      </c>
      <c r="AS117" s="23">
        <f t="shared" si="53"/>
        <v>1043.4839999999999</v>
      </c>
    </row>
    <row r="118" spans="5:45">
      <c r="E118" s="35" t="str">
        <f t="shared" si="38"/>
        <v/>
      </c>
      <c r="F118" s="19">
        <v>230</v>
      </c>
      <c r="G118" s="19">
        <v>913.54499999999996</v>
      </c>
      <c r="H118" s="19">
        <v>2</v>
      </c>
      <c r="I118" s="19">
        <v>2.2000000000000002</v>
      </c>
      <c r="J118" s="36">
        <v>4.0831050228310497</v>
      </c>
      <c r="K118" s="36">
        <v>1.0741261942924094</v>
      </c>
      <c r="L118" s="37">
        <v>2091219.139330355</v>
      </c>
      <c r="M118" s="37" t="s">
        <v>96</v>
      </c>
      <c r="N118" s="23">
        <v>269.45102910286857</v>
      </c>
      <c r="O118" s="57">
        <v>269.3963696699974</v>
      </c>
      <c r="P118" s="66">
        <v>19.755733775799811</v>
      </c>
      <c r="Q118" s="68">
        <v>2124456.5010414212</v>
      </c>
      <c r="R118" s="27">
        <v>8.4679866037394684E-3</v>
      </c>
      <c r="S118" s="19">
        <v>0.45268811177167712</v>
      </c>
      <c r="T118" s="19">
        <v>3.5282785359788842E-2</v>
      </c>
      <c r="U118" s="19">
        <v>0.48797089713146596</v>
      </c>
      <c r="V118" s="19">
        <v>0</v>
      </c>
      <c r="W118" s="19">
        <v>269.45102910286857</v>
      </c>
      <c r="X118" s="23">
        <v>1182.9960291028685</v>
      </c>
      <c r="Y118" s="22">
        <v>9.4904462912918219E-3</v>
      </c>
      <c r="Z118" s="19">
        <v>0.50734754464280807</v>
      </c>
      <c r="AA118" s="19">
        <v>3.5282785359788842E-2</v>
      </c>
      <c r="AB118" s="19">
        <v>0.54263033000259686</v>
      </c>
      <c r="AC118" s="19">
        <v>0</v>
      </c>
      <c r="AD118" s="19">
        <v>269.3963696699974</v>
      </c>
      <c r="AE118" s="23">
        <v>1182.9413696699974</v>
      </c>
      <c r="AF118" s="27">
        <v>1.1152845500629007E-2</v>
      </c>
      <c r="AG118" s="19">
        <v>0.59621735446906032</v>
      </c>
      <c r="AH118" s="19">
        <v>3.5282785359788842E-2</v>
      </c>
      <c r="AI118" s="19">
        <v>0.63150013982884912</v>
      </c>
      <c r="AJ118" s="19">
        <v>0</v>
      </c>
      <c r="AK118" s="19">
        <v>269.30749986017111</v>
      </c>
      <c r="AL118" s="23">
        <v>1182.8524998601711</v>
      </c>
      <c r="AM118" s="22">
        <v>1.4104604303736145E-2</v>
      </c>
      <c r="AN118" s="19">
        <v>0.75676661531854661</v>
      </c>
      <c r="AO118" s="19">
        <v>3.5282785359788842E-2</v>
      </c>
      <c r="AP118" s="19">
        <v>0.7920494006783354</v>
      </c>
      <c r="AQ118" s="19">
        <v>0</v>
      </c>
      <c r="AR118" s="19">
        <v>269.14695059932171</v>
      </c>
      <c r="AS118" s="23">
        <v>1182.6919505993217</v>
      </c>
    </row>
    <row r="119" spans="5:45">
      <c r="E119" s="35" t="str">
        <f t="shared" si="38"/>
        <v/>
      </c>
      <c r="F119" s="19">
        <v>232</v>
      </c>
      <c r="G119" s="19">
        <v>914.54600000000005</v>
      </c>
      <c r="H119" s="19">
        <v>2</v>
      </c>
      <c r="I119" s="19">
        <v>2.2000000000000002</v>
      </c>
      <c r="J119" s="36">
        <v>4.0831050228310497</v>
      </c>
      <c r="K119" s="36">
        <v>1.0741261942924094</v>
      </c>
      <c r="L119" s="37">
        <v>2091219.139330355</v>
      </c>
      <c r="M119" s="37" t="s">
        <v>96</v>
      </c>
      <c r="N119" s="23">
        <v>267.96205820573709</v>
      </c>
      <c r="O119" s="57">
        <v>267.85273933999474</v>
      </c>
      <c r="P119" s="66">
        <v>19.642534218266285</v>
      </c>
      <c r="Q119" s="68">
        <v>2112393.1219892493</v>
      </c>
      <c r="R119" s="27">
        <v>8.4679866037394684E-3</v>
      </c>
      <c r="S119" s="19">
        <v>0.45268811177167712</v>
      </c>
      <c r="T119" s="19">
        <v>3.5282785359788842E-2</v>
      </c>
      <c r="U119" s="19">
        <v>0.48797089713146596</v>
      </c>
      <c r="V119" s="19">
        <v>0</v>
      </c>
      <c r="W119" s="19">
        <v>267.96205820573709</v>
      </c>
      <c r="X119" s="23">
        <v>1182.5080582057371</v>
      </c>
      <c r="Y119" s="22">
        <v>9.4904462912918219E-3</v>
      </c>
      <c r="Z119" s="19">
        <v>0.50734754464280807</v>
      </c>
      <c r="AA119" s="19">
        <v>3.5282785359788842E-2</v>
      </c>
      <c r="AB119" s="19">
        <v>0.54263033000259686</v>
      </c>
      <c r="AC119" s="19">
        <v>0</v>
      </c>
      <c r="AD119" s="19">
        <v>267.85273933999474</v>
      </c>
      <c r="AE119" s="23">
        <v>1182.3987393399948</v>
      </c>
      <c r="AF119" s="27">
        <v>1.1152845500629007E-2</v>
      </c>
      <c r="AG119" s="19">
        <v>0.59621735446906032</v>
      </c>
      <c r="AH119" s="19">
        <v>3.5282785359788842E-2</v>
      </c>
      <c r="AI119" s="19">
        <v>0.63150013982884912</v>
      </c>
      <c r="AJ119" s="19">
        <v>0</v>
      </c>
      <c r="AK119" s="19">
        <v>267.67499972034216</v>
      </c>
      <c r="AL119" s="23">
        <v>1182.2209997203422</v>
      </c>
      <c r="AM119" s="22">
        <v>1.4104604303736145E-2</v>
      </c>
      <c r="AN119" s="19">
        <v>0.75676661531854661</v>
      </c>
      <c r="AO119" s="19">
        <v>3.5282785359788842E-2</v>
      </c>
      <c r="AP119" s="19">
        <v>0.7920494006783354</v>
      </c>
      <c r="AQ119" s="19">
        <v>0</v>
      </c>
      <c r="AR119" s="19">
        <v>267.35390119864337</v>
      </c>
      <c r="AS119" s="23">
        <v>1181.8999011986434</v>
      </c>
    </row>
    <row r="120" spans="5:45">
      <c r="E120" s="35" t="str">
        <f t="shared" si="38"/>
        <v/>
      </c>
      <c r="F120" s="19">
        <v>234</v>
      </c>
      <c r="G120" s="19">
        <v>918.28499999999997</v>
      </c>
      <c r="H120" s="19">
        <v>2</v>
      </c>
      <c r="I120" s="19">
        <v>2.2000000000000002</v>
      </c>
      <c r="J120" s="36">
        <v>4.0831050228310497</v>
      </c>
      <c r="K120" s="36">
        <v>1.0741261942924094</v>
      </c>
      <c r="L120" s="37">
        <v>2091219.139330355</v>
      </c>
      <c r="M120" s="37" t="s">
        <v>96</v>
      </c>
      <c r="N120" s="23">
        <v>263.73508730860578</v>
      </c>
      <c r="O120" s="57">
        <v>263.57110900999226</v>
      </c>
      <c r="P120" s="66">
        <v>19.328547994066099</v>
      </c>
      <c r="Q120" s="68">
        <v>2078925.820363251</v>
      </c>
      <c r="R120" s="27">
        <v>8.4679866037394684E-3</v>
      </c>
      <c r="S120" s="19">
        <v>0.45268811177167712</v>
      </c>
      <c r="T120" s="19">
        <v>3.5282785359788842E-2</v>
      </c>
      <c r="U120" s="19">
        <v>0.48797089713146596</v>
      </c>
      <c r="V120" s="19">
        <v>0</v>
      </c>
      <c r="W120" s="19">
        <v>263.73508730860578</v>
      </c>
      <c r="X120" s="23">
        <v>1182.0200873086058</v>
      </c>
      <c r="Y120" s="22">
        <v>9.4904462912918219E-3</v>
      </c>
      <c r="Z120" s="19">
        <v>0.50734754464280807</v>
      </c>
      <c r="AA120" s="19">
        <v>3.5282785359788842E-2</v>
      </c>
      <c r="AB120" s="19">
        <v>0.54263033000259686</v>
      </c>
      <c r="AC120" s="19">
        <v>0</v>
      </c>
      <c r="AD120" s="19">
        <v>263.57110900999226</v>
      </c>
      <c r="AE120" s="23">
        <v>1181.8561090099922</v>
      </c>
      <c r="AF120" s="27">
        <v>1.1152845500629007E-2</v>
      </c>
      <c r="AG120" s="19">
        <v>0.59621735446906032</v>
      </c>
      <c r="AH120" s="19">
        <v>3.5282785359788842E-2</v>
      </c>
      <c r="AI120" s="19">
        <v>0.63150013982884912</v>
      </c>
      <c r="AJ120" s="19">
        <v>0</v>
      </c>
      <c r="AK120" s="19">
        <v>263.30449958051338</v>
      </c>
      <c r="AL120" s="23">
        <v>1181.5894995805133</v>
      </c>
      <c r="AM120" s="22">
        <v>1.4104604303736145E-2</v>
      </c>
      <c r="AN120" s="19">
        <v>0.75676661531854661</v>
      </c>
      <c r="AO120" s="19">
        <v>3.5282785359788842E-2</v>
      </c>
      <c r="AP120" s="19">
        <v>0.7920494006783354</v>
      </c>
      <c r="AQ120" s="19">
        <v>0</v>
      </c>
      <c r="AR120" s="19">
        <v>262.8228517979652</v>
      </c>
      <c r="AS120" s="23">
        <v>1181.1078517979652</v>
      </c>
    </row>
    <row r="121" spans="5:45">
      <c r="E121" s="35" t="str">
        <f t="shared" si="38"/>
        <v/>
      </c>
      <c r="F121" s="19">
        <v>236</v>
      </c>
      <c r="G121" s="19">
        <v>919.35699999999997</v>
      </c>
      <c r="H121" s="19">
        <v>2</v>
      </c>
      <c r="I121" s="19">
        <v>2.2000000000000002</v>
      </c>
      <c r="J121" s="36">
        <v>4.0831050228310497</v>
      </c>
      <c r="K121" s="36">
        <v>1.0741261942924094</v>
      </c>
      <c r="L121" s="37">
        <v>2091219.139330355</v>
      </c>
      <c r="M121" s="37" t="s">
        <v>96</v>
      </c>
      <c r="N121" s="23">
        <v>262.17511641147439</v>
      </c>
      <c r="O121" s="57">
        <v>261.95647867998969</v>
      </c>
      <c r="P121" s="66">
        <v>19.210141769865913</v>
      </c>
      <c r="Q121" s="68">
        <v>2066302.5604751634</v>
      </c>
      <c r="R121" s="27">
        <v>8.4679866037394684E-3</v>
      </c>
      <c r="S121" s="19">
        <v>0.45268811177167712</v>
      </c>
      <c r="T121" s="19">
        <v>3.5282785359788842E-2</v>
      </c>
      <c r="U121" s="19">
        <v>0.48797089713146596</v>
      </c>
      <c r="V121" s="19">
        <v>0</v>
      </c>
      <c r="W121" s="19">
        <v>262.17511641147439</v>
      </c>
      <c r="X121" s="23">
        <v>1181.5321164114744</v>
      </c>
      <c r="Y121" s="22">
        <v>9.4904462912918219E-3</v>
      </c>
      <c r="Z121" s="19">
        <v>0.50734754464280807</v>
      </c>
      <c r="AA121" s="19">
        <v>3.5282785359788842E-2</v>
      </c>
      <c r="AB121" s="19">
        <v>0.54263033000259686</v>
      </c>
      <c r="AC121" s="19">
        <v>0</v>
      </c>
      <c r="AD121" s="19">
        <v>261.95647867998969</v>
      </c>
      <c r="AE121" s="23">
        <v>1181.3134786799897</v>
      </c>
      <c r="AF121" s="27">
        <v>1.1152845500629007E-2</v>
      </c>
      <c r="AG121" s="19">
        <v>0.59621735446906032</v>
      </c>
      <c r="AH121" s="19">
        <v>3.5282785359788842E-2</v>
      </c>
      <c r="AI121" s="19">
        <v>0.63150013982884912</v>
      </c>
      <c r="AJ121" s="19">
        <v>0</v>
      </c>
      <c r="AK121" s="19">
        <v>261.60099944068452</v>
      </c>
      <c r="AL121" s="23">
        <v>1180.9579994406845</v>
      </c>
      <c r="AM121" s="22">
        <v>1.4104604303736145E-2</v>
      </c>
      <c r="AN121" s="19">
        <v>0.75676661531854661</v>
      </c>
      <c r="AO121" s="19">
        <v>3.5282785359788842E-2</v>
      </c>
      <c r="AP121" s="19">
        <v>0.7920494006783354</v>
      </c>
      <c r="AQ121" s="19">
        <v>0</v>
      </c>
      <c r="AR121" s="19">
        <v>260.95880239728695</v>
      </c>
      <c r="AS121" s="23">
        <v>1180.3158023972869</v>
      </c>
    </row>
    <row r="122" spans="5:45">
      <c r="E122" s="35" t="str">
        <f t="shared" si="38"/>
        <v/>
      </c>
      <c r="F122" s="19">
        <v>238</v>
      </c>
      <c r="G122" s="19">
        <v>918.649</v>
      </c>
      <c r="H122" s="19">
        <v>2</v>
      </c>
      <c r="I122" s="19">
        <v>2.2000000000000002</v>
      </c>
      <c r="J122" s="36">
        <v>4.0831050228310497</v>
      </c>
      <c r="K122" s="36">
        <v>1.0741261942924094</v>
      </c>
      <c r="L122" s="37">
        <v>2091219.139330355</v>
      </c>
      <c r="M122" s="37" t="s">
        <v>96</v>
      </c>
      <c r="N122" s="23">
        <v>262.39514551434297</v>
      </c>
      <c r="O122" s="57">
        <v>262.12184834998709</v>
      </c>
      <c r="P122" s="66">
        <v>19.222268878999053</v>
      </c>
      <c r="Q122" s="68">
        <v>2067595.4923158742</v>
      </c>
      <c r="R122" s="27">
        <v>8.4679866037394684E-3</v>
      </c>
      <c r="S122" s="19">
        <v>0.45268811177167712</v>
      </c>
      <c r="T122" s="19">
        <v>3.5282785359788842E-2</v>
      </c>
      <c r="U122" s="19">
        <v>0.48797089713146596</v>
      </c>
      <c r="V122" s="19">
        <v>0</v>
      </c>
      <c r="W122" s="19">
        <v>262.39514551434297</v>
      </c>
      <c r="X122" s="23">
        <v>1181.044145514343</v>
      </c>
      <c r="Y122" s="22">
        <v>9.4904462912918219E-3</v>
      </c>
      <c r="Z122" s="19">
        <v>0.50734754464280807</v>
      </c>
      <c r="AA122" s="19">
        <v>3.5282785359788842E-2</v>
      </c>
      <c r="AB122" s="19">
        <v>0.54263033000259686</v>
      </c>
      <c r="AC122" s="19">
        <v>0</v>
      </c>
      <c r="AD122" s="19">
        <v>262.12184834998709</v>
      </c>
      <c r="AE122" s="23">
        <v>1180.7708483499871</v>
      </c>
      <c r="AF122" s="27">
        <v>1.1152845500629007E-2</v>
      </c>
      <c r="AG122" s="19">
        <v>0.59621735446906032</v>
      </c>
      <c r="AH122" s="19">
        <v>3.5282785359788842E-2</v>
      </c>
      <c r="AI122" s="19">
        <v>0.63150013982884912</v>
      </c>
      <c r="AJ122" s="19">
        <v>0</v>
      </c>
      <c r="AK122" s="19">
        <v>261.67749930085563</v>
      </c>
      <c r="AL122" s="23">
        <v>1180.3264993008556</v>
      </c>
      <c r="AM122" s="22">
        <v>1.4104604303736145E-2</v>
      </c>
      <c r="AN122" s="19">
        <v>0.75676661531854661</v>
      </c>
      <c r="AO122" s="19">
        <v>3.5282785359788842E-2</v>
      </c>
      <c r="AP122" s="19">
        <v>0.7920494006783354</v>
      </c>
      <c r="AQ122" s="19">
        <v>0</v>
      </c>
      <c r="AR122" s="19">
        <v>260.87475299660866</v>
      </c>
      <c r="AS122" s="23">
        <v>1179.5237529966087</v>
      </c>
    </row>
    <row r="123" spans="5:45">
      <c r="E123" s="35" t="str">
        <f t="shared" si="38"/>
        <v/>
      </c>
      <c r="F123" s="19">
        <v>240</v>
      </c>
      <c r="G123" s="19">
        <v>922.97400000000005</v>
      </c>
      <c r="H123" s="19">
        <v>2</v>
      </c>
      <c r="I123" s="19">
        <v>2.2000000000000002</v>
      </c>
      <c r="J123" s="36">
        <v>4.0831050228310497</v>
      </c>
      <c r="K123" s="36">
        <v>1.0741261942924094</v>
      </c>
      <c r="L123" s="37">
        <v>2091219.139330355</v>
      </c>
      <c r="M123" s="37" t="s">
        <v>96</v>
      </c>
      <c r="N123" s="23">
        <v>257.58217461721154</v>
      </c>
      <c r="O123" s="57">
        <v>257.25421801998448</v>
      </c>
      <c r="P123" s="66">
        <v>18.865309321465528</v>
      </c>
      <c r="Q123" s="68">
        <v>2029532.1749021492</v>
      </c>
      <c r="R123" s="27">
        <v>8.4679866037394684E-3</v>
      </c>
      <c r="S123" s="19">
        <v>0.45268811177167712</v>
      </c>
      <c r="T123" s="19">
        <v>3.5282785359788842E-2</v>
      </c>
      <c r="U123" s="19">
        <v>0.48797089713146596</v>
      </c>
      <c r="V123" s="19">
        <v>0</v>
      </c>
      <c r="W123" s="19">
        <v>257.58217461721154</v>
      </c>
      <c r="X123" s="23">
        <v>1180.5561746172116</v>
      </c>
      <c r="Y123" s="22">
        <v>9.4904462912918219E-3</v>
      </c>
      <c r="Z123" s="19">
        <v>0.50734754464280807</v>
      </c>
      <c r="AA123" s="19">
        <v>3.5282785359788842E-2</v>
      </c>
      <c r="AB123" s="19">
        <v>0.54263033000259686</v>
      </c>
      <c r="AC123" s="19">
        <v>0</v>
      </c>
      <c r="AD123" s="19">
        <v>257.25421801998448</v>
      </c>
      <c r="AE123" s="23">
        <v>1180.2282180199845</v>
      </c>
      <c r="AF123" s="27">
        <v>1.1152845500629007E-2</v>
      </c>
      <c r="AG123" s="19">
        <v>0.59621735446906032</v>
      </c>
      <c r="AH123" s="19">
        <v>3.5282785359788842E-2</v>
      </c>
      <c r="AI123" s="19">
        <v>0.63150013982884912</v>
      </c>
      <c r="AJ123" s="19">
        <v>0</v>
      </c>
      <c r="AK123" s="19">
        <v>256.72099916102673</v>
      </c>
      <c r="AL123" s="23">
        <v>1179.6949991610268</v>
      </c>
      <c r="AM123" s="22">
        <v>1.4104604303736145E-2</v>
      </c>
      <c r="AN123" s="19">
        <v>0.75676661531854661</v>
      </c>
      <c r="AO123" s="19">
        <v>3.5282785359788842E-2</v>
      </c>
      <c r="AP123" s="19">
        <v>0.7920494006783354</v>
      </c>
      <c r="AQ123" s="19">
        <v>0</v>
      </c>
      <c r="AR123" s="19">
        <v>255.75770359593037</v>
      </c>
      <c r="AS123" s="23">
        <v>1178.7317035959304</v>
      </c>
    </row>
    <row r="124" spans="5:45">
      <c r="E124" s="35" t="str">
        <f t="shared" si="38"/>
        <v/>
      </c>
      <c r="F124" s="19">
        <v>242</v>
      </c>
      <c r="G124" s="19">
        <v>927.375</v>
      </c>
      <c r="H124" s="19">
        <v>2</v>
      </c>
      <c r="I124" s="19">
        <v>2.2000000000000002</v>
      </c>
      <c r="J124" s="36">
        <v>4.0831050228310497</v>
      </c>
      <c r="K124" s="36">
        <v>1.0741261942924094</v>
      </c>
      <c r="L124" s="37">
        <v>2091219.139330355</v>
      </c>
      <c r="M124" s="37" t="s">
        <v>96</v>
      </c>
      <c r="N124" s="23">
        <v>252.69320372008019</v>
      </c>
      <c r="O124" s="57">
        <v>252.31058768998196</v>
      </c>
      <c r="P124" s="66">
        <v>18.502776430598676</v>
      </c>
      <c r="Q124" s="68">
        <v>1990861.6963201039</v>
      </c>
      <c r="R124" s="27">
        <v>8.4679866037394684E-3</v>
      </c>
      <c r="S124" s="19">
        <v>0.45268811177167712</v>
      </c>
      <c r="T124" s="19">
        <v>3.5282785359788842E-2</v>
      </c>
      <c r="U124" s="19">
        <v>0.48797089713146596</v>
      </c>
      <c r="V124" s="19">
        <v>0</v>
      </c>
      <c r="W124" s="19">
        <v>252.69320372008019</v>
      </c>
      <c r="X124" s="23">
        <v>1180.0682037200802</v>
      </c>
      <c r="Y124" s="22">
        <v>9.4904462912918219E-3</v>
      </c>
      <c r="Z124" s="19">
        <v>0.50734754464280807</v>
      </c>
      <c r="AA124" s="19">
        <v>3.5282785359788842E-2</v>
      </c>
      <c r="AB124" s="19">
        <v>0.54263033000259686</v>
      </c>
      <c r="AC124" s="19">
        <v>0</v>
      </c>
      <c r="AD124" s="19">
        <v>252.31058768998196</v>
      </c>
      <c r="AE124" s="23">
        <v>1179.685587689982</v>
      </c>
      <c r="AF124" s="27">
        <v>1.1152845500629007E-2</v>
      </c>
      <c r="AG124" s="19">
        <v>0.59621735446906032</v>
      </c>
      <c r="AH124" s="19">
        <v>3.5282785359788842E-2</v>
      </c>
      <c r="AI124" s="19">
        <v>0.63150013982884912</v>
      </c>
      <c r="AJ124" s="19">
        <v>0</v>
      </c>
      <c r="AK124" s="19">
        <v>251.68849902119791</v>
      </c>
      <c r="AL124" s="23">
        <v>1179.0634990211979</v>
      </c>
      <c r="AM124" s="22">
        <v>1.4104604303736145E-2</v>
      </c>
      <c r="AN124" s="19">
        <v>0.75676661531854661</v>
      </c>
      <c r="AO124" s="19">
        <v>3.5282785359788842E-2</v>
      </c>
      <c r="AP124" s="19">
        <v>0.7920494006783354</v>
      </c>
      <c r="AQ124" s="19">
        <v>0</v>
      </c>
      <c r="AR124" s="19">
        <v>250.56465419525216</v>
      </c>
      <c r="AS124" s="23">
        <v>1177.9396541952522</v>
      </c>
    </row>
    <row r="125" spans="5:45">
      <c r="E125" s="35" t="str">
        <f t="shared" si="38"/>
        <v/>
      </c>
      <c r="F125" s="19">
        <v>244</v>
      </c>
      <c r="G125" s="19">
        <v>929.25300000000004</v>
      </c>
      <c r="H125" s="19">
        <v>2</v>
      </c>
      <c r="I125" s="19">
        <v>2.2000000000000002</v>
      </c>
      <c r="J125" s="36">
        <v>4.0831050228310497</v>
      </c>
      <c r="K125" s="36">
        <v>1.0741261942924094</v>
      </c>
      <c r="L125" s="37">
        <v>2091219.139330355</v>
      </c>
      <c r="M125" s="37" t="s">
        <v>96</v>
      </c>
      <c r="N125" s="23">
        <v>250.32723282294876</v>
      </c>
      <c r="O125" s="57">
        <v>249.88995735997935</v>
      </c>
      <c r="P125" s="66">
        <v>18.325263539731818</v>
      </c>
      <c r="Q125" s="68">
        <v>1971922.1109715903</v>
      </c>
      <c r="R125" s="27">
        <v>8.4679866037394684E-3</v>
      </c>
      <c r="S125" s="19">
        <v>0.45268811177167712</v>
      </c>
      <c r="T125" s="19">
        <v>3.5282785359788842E-2</v>
      </c>
      <c r="U125" s="19">
        <v>0.48797089713146596</v>
      </c>
      <c r="V125" s="19">
        <v>0</v>
      </c>
      <c r="W125" s="19">
        <v>250.32723282294876</v>
      </c>
      <c r="X125" s="23">
        <v>1179.5802328229488</v>
      </c>
      <c r="Y125" s="22">
        <v>9.4904462912918219E-3</v>
      </c>
      <c r="Z125" s="19">
        <v>0.50734754464280807</v>
      </c>
      <c r="AA125" s="19">
        <v>3.5282785359788842E-2</v>
      </c>
      <c r="AB125" s="19">
        <v>0.54263033000259686</v>
      </c>
      <c r="AC125" s="19">
        <v>0</v>
      </c>
      <c r="AD125" s="19">
        <v>249.88995735997935</v>
      </c>
      <c r="AE125" s="23">
        <v>1179.1429573599794</v>
      </c>
      <c r="AF125" s="27">
        <v>1.1152845500629007E-2</v>
      </c>
      <c r="AG125" s="19">
        <v>0.59621735446906032</v>
      </c>
      <c r="AH125" s="19">
        <v>3.5282785359788842E-2</v>
      </c>
      <c r="AI125" s="19">
        <v>0.63150013982884912</v>
      </c>
      <c r="AJ125" s="19">
        <v>0</v>
      </c>
      <c r="AK125" s="19">
        <v>249.17899888136901</v>
      </c>
      <c r="AL125" s="23">
        <v>1178.4319988813691</v>
      </c>
      <c r="AM125" s="22">
        <v>1.4104604303736145E-2</v>
      </c>
      <c r="AN125" s="19">
        <v>0.75676661531854661</v>
      </c>
      <c r="AO125" s="19">
        <v>3.5282785359788842E-2</v>
      </c>
      <c r="AP125" s="19">
        <v>0.7920494006783354</v>
      </c>
      <c r="AQ125" s="19">
        <v>0</v>
      </c>
      <c r="AR125" s="19">
        <v>247.89460479457387</v>
      </c>
      <c r="AS125" s="23">
        <v>1177.1476047945739</v>
      </c>
    </row>
    <row r="126" spans="5:45">
      <c r="E126" s="35" t="str">
        <f t="shared" si="38"/>
        <v/>
      </c>
      <c r="F126" s="19">
        <v>246</v>
      </c>
      <c r="G126" s="19">
        <v>930.86300000000006</v>
      </c>
      <c r="H126" s="19">
        <v>2</v>
      </c>
      <c r="I126" s="19">
        <v>2.2000000000000002</v>
      </c>
      <c r="J126" s="36">
        <v>4.0831050228310497</v>
      </c>
      <c r="K126" s="36">
        <v>1.0741261942924094</v>
      </c>
      <c r="L126" s="37">
        <v>2091219.139330355</v>
      </c>
      <c r="M126" s="37" t="s">
        <v>96</v>
      </c>
      <c r="N126" s="23">
        <v>248.22926192581735</v>
      </c>
      <c r="O126" s="57">
        <v>247.73732702997677</v>
      </c>
      <c r="P126" s="66">
        <v>18.167403982198298</v>
      </c>
      <c r="Q126" s="68">
        <v>1955076.8098883578</v>
      </c>
      <c r="R126" s="27">
        <v>8.4679866037394684E-3</v>
      </c>
      <c r="S126" s="19">
        <v>0.45268811177167712</v>
      </c>
      <c r="T126" s="19">
        <v>3.5282785359788842E-2</v>
      </c>
      <c r="U126" s="19">
        <v>0.48797089713146596</v>
      </c>
      <c r="V126" s="19">
        <v>0</v>
      </c>
      <c r="W126" s="19">
        <v>248.22926192581735</v>
      </c>
      <c r="X126" s="23">
        <v>1179.0922619258174</v>
      </c>
      <c r="Y126" s="22">
        <v>9.4904462912918219E-3</v>
      </c>
      <c r="Z126" s="19">
        <v>0.50734754464280807</v>
      </c>
      <c r="AA126" s="19">
        <v>3.5282785359788842E-2</v>
      </c>
      <c r="AB126" s="19">
        <v>0.54263033000259686</v>
      </c>
      <c r="AC126" s="19">
        <v>0</v>
      </c>
      <c r="AD126" s="19">
        <v>247.73732702997677</v>
      </c>
      <c r="AE126" s="23">
        <v>1178.6003270299768</v>
      </c>
      <c r="AF126" s="27">
        <v>1.1152845500629007E-2</v>
      </c>
      <c r="AG126" s="19">
        <v>0.59621735446906032</v>
      </c>
      <c r="AH126" s="19">
        <v>3.5282785359788842E-2</v>
      </c>
      <c r="AI126" s="19">
        <v>0.63150013982884912</v>
      </c>
      <c r="AJ126" s="19">
        <v>0</v>
      </c>
      <c r="AK126" s="19">
        <v>246.93749874154014</v>
      </c>
      <c r="AL126" s="23">
        <v>1177.8004987415402</v>
      </c>
      <c r="AM126" s="22">
        <v>1.4104604303736145E-2</v>
      </c>
      <c r="AN126" s="19">
        <v>0.75676661531854661</v>
      </c>
      <c r="AO126" s="19">
        <v>3.5282785359788842E-2</v>
      </c>
      <c r="AP126" s="19">
        <v>0.7920494006783354</v>
      </c>
      <c r="AQ126" s="19">
        <v>0</v>
      </c>
      <c r="AR126" s="19">
        <v>245.4925553938956</v>
      </c>
      <c r="AS126" s="23">
        <v>1176.3555553938957</v>
      </c>
    </row>
    <row r="127" spans="5:45">
      <c r="E127" s="35" t="str">
        <f t="shared" si="38"/>
        <v/>
      </c>
      <c r="F127" s="19">
        <v>248</v>
      </c>
      <c r="G127" s="19">
        <v>931.92399999999998</v>
      </c>
      <c r="H127" s="19">
        <v>2</v>
      </c>
      <c r="I127" s="19">
        <v>2.2000000000000002</v>
      </c>
      <c r="J127" s="36">
        <v>4.0831050228310497</v>
      </c>
      <c r="K127" s="36">
        <v>1.0741261942924094</v>
      </c>
      <c r="L127" s="37">
        <v>2091219.139330355</v>
      </c>
      <c r="M127" s="37" t="s">
        <v>96</v>
      </c>
      <c r="N127" s="23">
        <v>246.68029102868604</v>
      </c>
      <c r="O127" s="57">
        <v>246.13369669997428</v>
      </c>
      <c r="P127" s="66">
        <v>18.049804424664782</v>
      </c>
      <c r="Q127" s="68">
        <v>1942526.0831092701</v>
      </c>
      <c r="R127" s="27">
        <v>8.4679866037394684E-3</v>
      </c>
      <c r="S127" s="19">
        <v>0.45268811177167712</v>
      </c>
      <c r="T127" s="19">
        <v>3.5282785359788842E-2</v>
      </c>
      <c r="U127" s="19">
        <v>0.48797089713146596</v>
      </c>
      <c r="V127" s="19">
        <v>0</v>
      </c>
      <c r="W127" s="19">
        <v>246.68029102868604</v>
      </c>
      <c r="X127" s="23">
        <v>1178.604291028686</v>
      </c>
      <c r="Y127" s="22">
        <v>9.4904462912918219E-3</v>
      </c>
      <c r="Z127" s="19">
        <v>0.50734754464280807</v>
      </c>
      <c r="AA127" s="19">
        <v>3.5282785359788842E-2</v>
      </c>
      <c r="AB127" s="19">
        <v>0.54263033000259686</v>
      </c>
      <c r="AC127" s="19">
        <v>0</v>
      </c>
      <c r="AD127" s="19">
        <v>246.13369669997428</v>
      </c>
      <c r="AE127" s="23">
        <v>1178.0576966999743</v>
      </c>
      <c r="AF127" s="27">
        <v>1.1152845500629007E-2</v>
      </c>
      <c r="AG127" s="19">
        <v>0.59621735446906032</v>
      </c>
      <c r="AH127" s="19">
        <v>3.5282785359788842E-2</v>
      </c>
      <c r="AI127" s="19">
        <v>0.63150013982884912</v>
      </c>
      <c r="AJ127" s="19">
        <v>0</v>
      </c>
      <c r="AK127" s="19">
        <v>245.24499860171136</v>
      </c>
      <c r="AL127" s="23">
        <v>1177.1689986017113</v>
      </c>
      <c r="AM127" s="22">
        <v>1.4104604303736145E-2</v>
      </c>
      <c r="AN127" s="19">
        <v>0.75676661531854661</v>
      </c>
      <c r="AO127" s="19">
        <v>3.5282785359788842E-2</v>
      </c>
      <c r="AP127" s="19">
        <v>0.7920494006783354</v>
      </c>
      <c r="AQ127" s="19">
        <v>0</v>
      </c>
      <c r="AR127" s="19">
        <v>243.63950599321743</v>
      </c>
      <c r="AS127" s="23">
        <v>1175.5635059932174</v>
      </c>
    </row>
    <row r="128" spans="5:45">
      <c r="E128" s="35" t="str">
        <f t="shared" si="38"/>
        <v/>
      </c>
      <c r="F128" s="19">
        <v>250</v>
      </c>
      <c r="G128" s="19">
        <v>936.72199999999998</v>
      </c>
      <c r="H128" s="19">
        <v>2</v>
      </c>
      <c r="I128" s="19">
        <v>2.2000000000000002</v>
      </c>
      <c r="J128" s="36">
        <v>4.0831050228310497</v>
      </c>
      <c r="K128" s="36">
        <v>1.0741261942924094</v>
      </c>
      <c r="L128" s="37">
        <v>2091219.139330355</v>
      </c>
      <c r="M128" s="37" t="s">
        <v>96</v>
      </c>
      <c r="N128" s="23">
        <v>241.39432013155465</v>
      </c>
      <c r="O128" s="57">
        <v>240.79306636997171</v>
      </c>
      <c r="P128" s="66">
        <v>17.658158200464595</v>
      </c>
      <c r="Q128" s="68">
        <v>1900718.0890495649</v>
      </c>
      <c r="R128" s="27">
        <v>8.4679866037394684E-3</v>
      </c>
      <c r="S128" s="19">
        <v>0.45268811177167712</v>
      </c>
      <c r="T128" s="19">
        <v>3.5282785359788842E-2</v>
      </c>
      <c r="U128" s="19">
        <v>0.48797089713146596</v>
      </c>
      <c r="V128" s="19">
        <v>0</v>
      </c>
      <c r="W128" s="19">
        <v>241.39432013155465</v>
      </c>
      <c r="X128" s="23">
        <v>1178.1163201315546</v>
      </c>
      <c r="Y128" s="22">
        <v>9.4904462912918219E-3</v>
      </c>
      <c r="Z128" s="19">
        <v>0.50734754464280807</v>
      </c>
      <c r="AA128" s="19">
        <v>3.5282785359788842E-2</v>
      </c>
      <c r="AB128" s="19">
        <v>0.54263033000259686</v>
      </c>
      <c r="AC128" s="19">
        <v>0</v>
      </c>
      <c r="AD128" s="19">
        <v>240.79306636997171</v>
      </c>
      <c r="AE128" s="23">
        <v>1177.5150663699717</v>
      </c>
      <c r="AF128" s="27">
        <v>1.1152845500629007E-2</v>
      </c>
      <c r="AG128" s="19">
        <v>0.59621735446906032</v>
      </c>
      <c r="AH128" s="19">
        <v>3.5282785359788842E-2</v>
      </c>
      <c r="AI128" s="19">
        <v>0.63150013982884912</v>
      </c>
      <c r="AJ128" s="19">
        <v>0</v>
      </c>
      <c r="AK128" s="19">
        <v>239.8154984618825</v>
      </c>
      <c r="AL128" s="23">
        <v>1176.5374984618825</v>
      </c>
      <c r="AM128" s="22">
        <v>1.4104604303736145E-2</v>
      </c>
      <c r="AN128" s="19">
        <v>0.75676661531854661</v>
      </c>
      <c r="AO128" s="19">
        <v>3.5282785359788842E-2</v>
      </c>
      <c r="AP128" s="19">
        <v>0.7920494006783354</v>
      </c>
      <c r="AQ128" s="19">
        <v>0</v>
      </c>
      <c r="AR128" s="19">
        <v>238.04945659253917</v>
      </c>
      <c r="AS128" s="23">
        <v>1174.7714565925392</v>
      </c>
    </row>
    <row r="129" spans="5:46">
      <c r="E129" s="35" t="str">
        <f t="shared" si="38"/>
        <v/>
      </c>
      <c r="F129" s="19">
        <v>252</v>
      </c>
      <c r="G129" s="19">
        <v>941.77700000000004</v>
      </c>
      <c r="H129" s="19">
        <v>2</v>
      </c>
      <c r="I129" s="19">
        <v>2.2000000000000002</v>
      </c>
      <c r="J129" s="36">
        <v>4.0831050228310497</v>
      </c>
      <c r="K129" s="36">
        <v>1.0741261942924094</v>
      </c>
      <c r="L129" s="37">
        <v>2091219.139330355</v>
      </c>
      <c r="M129" s="37" t="s">
        <v>96</v>
      </c>
      <c r="N129" s="23">
        <v>235.8513492344232</v>
      </c>
      <c r="O129" s="57">
        <v>235.19543603996908</v>
      </c>
      <c r="P129" s="66">
        <v>17.247665309597732</v>
      </c>
      <c r="Q129" s="68">
        <v>1856881.9841860209</v>
      </c>
      <c r="R129" s="27">
        <v>8.4679866037394684E-3</v>
      </c>
      <c r="S129" s="19">
        <v>0.45268811177167712</v>
      </c>
      <c r="T129" s="19">
        <v>3.5282785359788842E-2</v>
      </c>
      <c r="U129" s="19">
        <v>0.48797089713146596</v>
      </c>
      <c r="V129" s="19">
        <v>0</v>
      </c>
      <c r="W129" s="19">
        <v>235.8513492344232</v>
      </c>
      <c r="X129" s="23">
        <v>1177.6283492344232</v>
      </c>
      <c r="Y129" s="22">
        <v>9.4904462912918219E-3</v>
      </c>
      <c r="Z129" s="19">
        <v>0.50734754464280807</v>
      </c>
      <c r="AA129" s="19">
        <v>3.5282785359788842E-2</v>
      </c>
      <c r="AB129" s="19">
        <v>0.54263033000259686</v>
      </c>
      <c r="AC129" s="19">
        <v>0</v>
      </c>
      <c r="AD129" s="19">
        <v>235.19543603996908</v>
      </c>
      <c r="AE129" s="23">
        <v>1176.9724360399691</v>
      </c>
      <c r="AF129" s="27">
        <v>1.1152845500629007E-2</v>
      </c>
      <c r="AG129" s="19">
        <v>0.59621735446906032</v>
      </c>
      <c r="AH129" s="19">
        <v>3.5282785359788842E-2</v>
      </c>
      <c r="AI129" s="19">
        <v>0.63150013982884912</v>
      </c>
      <c r="AJ129" s="19">
        <v>0</v>
      </c>
      <c r="AK129" s="19">
        <v>234.12899832205358</v>
      </c>
      <c r="AL129" s="23">
        <v>1175.9059983220536</v>
      </c>
      <c r="AM129" s="22">
        <v>1.4104604303736145E-2</v>
      </c>
      <c r="AN129" s="19">
        <v>0.75676661531854661</v>
      </c>
      <c r="AO129" s="19">
        <v>3.5282785359788842E-2</v>
      </c>
      <c r="AP129" s="19">
        <v>0.7920494006783354</v>
      </c>
      <c r="AQ129" s="19">
        <v>0</v>
      </c>
      <c r="AR129" s="19">
        <v>232.20240719186086</v>
      </c>
      <c r="AS129" s="23">
        <v>1173.9794071918609</v>
      </c>
    </row>
    <row r="130" spans="5:46">
      <c r="E130" s="35" t="str">
        <f t="shared" si="38"/>
        <v/>
      </c>
      <c r="F130" s="19">
        <v>254</v>
      </c>
      <c r="G130" s="19">
        <v>948.14300000000003</v>
      </c>
      <c r="H130" s="19">
        <v>2</v>
      </c>
      <c r="I130" s="19">
        <v>2.2000000000000002</v>
      </c>
      <c r="J130" s="36">
        <v>4.0831050228310497</v>
      </c>
      <c r="K130" s="36">
        <v>1.0741261942924094</v>
      </c>
      <c r="L130" s="37">
        <v>2091219.139330355</v>
      </c>
      <c r="M130" s="37" t="s">
        <v>96</v>
      </c>
      <c r="N130" s="23">
        <v>228.99737833729182</v>
      </c>
      <c r="O130" s="57">
        <v>228.28680570996653</v>
      </c>
      <c r="P130" s="66">
        <v>16.741032418730878</v>
      </c>
      <c r="Q130" s="68">
        <v>1802756.2719131203</v>
      </c>
      <c r="R130" s="27">
        <v>8.4679866037394684E-3</v>
      </c>
      <c r="S130" s="19">
        <v>0.45268811177167712</v>
      </c>
      <c r="T130" s="19">
        <v>3.5282785359788842E-2</v>
      </c>
      <c r="U130" s="19">
        <v>0.48797089713146596</v>
      </c>
      <c r="V130" s="19">
        <v>0</v>
      </c>
      <c r="W130" s="19">
        <v>228.99737833729182</v>
      </c>
      <c r="X130" s="23">
        <v>1177.1403783372918</v>
      </c>
      <c r="Y130" s="22">
        <v>9.4904462912918219E-3</v>
      </c>
      <c r="Z130" s="19">
        <v>0.50734754464280807</v>
      </c>
      <c r="AA130" s="19">
        <v>3.5282785359788842E-2</v>
      </c>
      <c r="AB130" s="19">
        <v>0.54263033000259686</v>
      </c>
      <c r="AC130" s="19">
        <v>0</v>
      </c>
      <c r="AD130" s="19">
        <v>228.28680570996653</v>
      </c>
      <c r="AE130" s="23">
        <v>1176.4298057099666</v>
      </c>
      <c r="AF130" s="27">
        <v>1.1152845500629007E-2</v>
      </c>
      <c r="AG130" s="19">
        <v>0.59621735446906032</v>
      </c>
      <c r="AH130" s="19">
        <v>3.5282785359788842E-2</v>
      </c>
      <c r="AI130" s="19">
        <v>0.63150013982884912</v>
      </c>
      <c r="AJ130" s="19">
        <v>0</v>
      </c>
      <c r="AK130" s="19">
        <v>227.13149818222473</v>
      </c>
      <c r="AL130" s="23">
        <v>1175.2744981822248</v>
      </c>
      <c r="AM130" s="22">
        <v>1.4104604303736145E-2</v>
      </c>
      <c r="AN130" s="19">
        <v>0.75676661531854661</v>
      </c>
      <c r="AO130" s="19">
        <v>3.5282785359788842E-2</v>
      </c>
      <c r="AP130" s="19">
        <v>0.7920494006783354</v>
      </c>
      <c r="AQ130" s="19">
        <v>0</v>
      </c>
      <c r="AR130" s="19">
        <v>225.04435779118262</v>
      </c>
      <c r="AS130" s="23">
        <v>1173.1873577911826</v>
      </c>
    </row>
    <row r="131" spans="5:46">
      <c r="E131" s="35" t="str">
        <f t="shared" si="38"/>
        <v/>
      </c>
      <c r="F131" s="19">
        <v>256</v>
      </c>
      <c r="G131" s="19">
        <v>955.41700000000003</v>
      </c>
      <c r="H131" s="19">
        <v>2</v>
      </c>
      <c r="I131" s="19">
        <v>2.2000000000000002</v>
      </c>
      <c r="J131" s="36">
        <v>4.0831050228310497</v>
      </c>
      <c r="K131" s="36">
        <v>1.0741261942924094</v>
      </c>
      <c r="L131" s="37">
        <v>2091219.139330355</v>
      </c>
      <c r="M131" s="37" t="s">
        <v>96</v>
      </c>
      <c r="N131" s="23">
        <v>221.23540744016043</v>
      </c>
      <c r="O131" s="57">
        <v>220.47017537996396</v>
      </c>
      <c r="P131" s="66">
        <v>16.167812861197358</v>
      </c>
      <c r="Q131" s="68">
        <v>1741486.2967657489</v>
      </c>
      <c r="R131" s="27">
        <v>8.4679866037394684E-3</v>
      </c>
      <c r="S131" s="19">
        <v>0.45268811177167712</v>
      </c>
      <c r="T131" s="19">
        <v>3.5282785359788842E-2</v>
      </c>
      <c r="U131" s="19">
        <v>0.48797089713146596</v>
      </c>
      <c r="V131" s="19">
        <v>0</v>
      </c>
      <c r="W131" s="19">
        <v>221.23540744016043</v>
      </c>
      <c r="X131" s="23">
        <v>1176.6524074401605</v>
      </c>
      <c r="Y131" s="22">
        <v>9.4904462912918219E-3</v>
      </c>
      <c r="Z131" s="19">
        <v>0.50734754464280807</v>
      </c>
      <c r="AA131" s="19">
        <v>3.5282785359788842E-2</v>
      </c>
      <c r="AB131" s="19">
        <v>0.54263033000259686</v>
      </c>
      <c r="AC131" s="19">
        <v>0</v>
      </c>
      <c r="AD131" s="19">
        <v>220.47017537996396</v>
      </c>
      <c r="AE131" s="23">
        <v>1175.887175379964</v>
      </c>
      <c r="AF131" s="27">
        <v>1.1152845500629007E-2</v>
      </c>
      <c r="AG131" s="19">
        <v>0.59621735446906032</v>
      </c>
      <c r="AH131" s="19">
        <v>3.5282785359788842E-2</v>
      </c>
      <c r="AI131" s="19">
        <v>0.63150013982884912</v>
      </c>
      <c r="AJ131" s="19">
        <v>0</v>
      </c>
      <c r="AK131" s="19">
        <v>219.22599804239587</v>
      </c>
      <c r="AL131" s="23">
        <v>1174.6429980423959</v>
      </c>
      <c r="AM131" s="22">
        <v>1.4104604303736145E-2</v>
      </c>
      <c r="AN131" s="19">
        <v>0.75676661531854661</v>
      </c>
      <c r="AO131" s="19">
        <v>3.5282785359788842E-2</v>
      </c>
      <c r="AP131" s="19">
        <v>0.7920494006783354</v>
      </c>
      <c r="AQ131" s="19">
        <v>0</v>
      </c>
      <c r="AR131" s="19">
        <v>216.97830839050437</v>
      </c>
      <c r="AS131" s="23">
        <v>1172.3953083905044</v>
      </c>
    </row>
    <row r="132" spans="5:46">
      <c r="E132" s="35" t="str">
        <f t="shared" si="38"/>
        <v/>
      </c>
      <c r="F132" s="19">
        <v>258</v>
      </c>
      <c r="G132" s="19">
        <v>962.7</v>
      </c>
      <c r="H132" s="19">
        <v>2</v>
      </c>
      <c r="I132" s="19">
        <v>2.2000000000000002</v>
      </c>
      <c r="J132" s="36">
        <v>4.0831050228310497</v>
      </c>
      <c r="K132" s="36">
        <v>1.0741261942924094</v>
      </c>
      <c r="L132" s="37">
        <v>2091219.139330355</v>
      </c>
      <c r="M132" s="37" t="s">
        <v>96</v>
      </c>
      <c r="N132" s="23">
        <v>213.46443654302902</v>
      </c>
      <c r="O132" s="57">
        <v>212.64454504996138</v>
      </c>
      <c r="P132" s="66">
        <v>15.593933303663833</v>
      </c>
      <c r="Q132" s="68">
        <v>1680113.306730475</v>
      </c>
      <c r="R132" s="27">
        <v>8.4679866037394684E-3</v>
      </c>
      <c r="S132" s="19">
        <v>0.45268811177167712</v>
      </c>
      <c r="T132" s="19">
        <v>3.5282785359788842E-2</v>
      </c>
      <c r="U132" s="19">
        <v>0.48797089713146596</v>
      </c>
      <c r="V132" s="19">
        <v>0</v>
      </c>
      <c r="W132" s="19">
        <v>213.46443654302902</v>
      </c>
      <c r="X132" s="23">
        <v>1176.1644365430291</v>
      </c>
      <c r="Y132" s="22">
        <v>9.4904462912918219E-3</v>
      </c>
      <c r="Z132" s="19">
        <v>0.50734754464280807</v>
      </c>
      <c r="AA132" s="19">
        <v>3.5282785359788842E-2</v>
      </c>
      <c r="AB132" s="19">
        <v>0.54263033000259686</v>
      </c>
      <c r="AC132" s="19">
        <v>0</v>
      </c>
      <c r="AD132" s="19">
        <v>212.64454504996138</v>
      </c>
      <c r="AE132" s="23">
        <v>1175.3445450499614</v>
      </c>
      <c r="AF132" s="27">
        <v>1.1152845500629007E-2</v>
      </c>
      <c r="AG132" s="19">
        <v>0.59621735446906032</v>
      </c>
      <c r="AH132" s="19">
        <v>3.5282785359788842E-2</v>
      </c>
      <c r="AI132" s="19">
        <v>0.63150013982884912</v>
      </c>
      <c r="AJ132" s="19">
        <v>0</v>
      </c>
      <c r="AK132" s="19">
        <v>211.311497902567</v>
      </c>
      <c r="AL132" s="23">
        <v>1174.011497902567</v>
      </c>
      <c r="AM132" s="22">
        <v>1.4104604303736145E-2</v>
      </c>
      <c r="AN132" s="19">
        <v>0.75676661531854661</v>
      </c>
      <c r="AO132" s="19">
        <v>3.5282785359788842E-2</v>
      </c>
      <c r="AP132" s="19">
        <v>0.7920494006783354</v>
      </c>
      <c r="AQ132" s="19">
        <v>0</v>
      </c>
      <c r="AR132" s="19">
        <v>208.9032589898261</v>
      </c>
      <c r="AS132" s="23">
        <v>1171.6032589898261</v>
      </c>
    </row>
    <row r="133" spans="5:46">
      <c r="E133" s="35" t="str">
        <f t="shared" ref="E133:E196" si="56">IF(OR(F133=$B$11,F133=$B$12,F133=$B$13,F133=$B$14,F133=$B$15,F133=$B$16),"Reservoir",IF(OR(F133=$B$4,F133=$B$5,F133=$B$6),"Pump Station",""))</f>
        <v/>
      </c>
      <c r="F133" s="19">
        <v>260</v>
      </c>
      <c r="G133" s="19">
        <v>969.28099999999995</v>
      </c>
      <c r="H133" s="19">
        <v>2</v>
      </c>
      <c r="I133" s="19">
        <v>2.2000000000000002</v>
      </c>
      <c r="J133" s="36">
        <v>4.0831050228310497</v>
      </c>
      <c r="K133" s="36">
        <v>1.0741261942924094</v>
      </c>
      <c r="L133" s="37">
        <v>2091219.139330355</v>
      </c>
      <c r="M133" s="37" t="s">
        <v>96</v>
      </c>
      <c r="N133" s="23">
        <v>206.39546564589773</v>
      </c>
      <c r="O133" s="57">
        <v>205.52091471995891</v>
      </c>
      <c r="P133" s="66">
        <v>15.071533746130321</v>
      </c>
      <c r="Q133" s="68">
        <v>1624217.5480540695</v>
      </c>
      <c r="R133" s="27">
        <v>8.4679866037394684E-3</v>
      </c>
      <c r="S133" s="19">
        <v>0.45268811177167712</v>
      </c>
      <c r="T133" s="19">
        <v>3.5282785359788842E-2</v>
      </c>
      <c r="U133" s="19">
        <v>0.48797089713146596</v>
      </c>
      <c r="V133" s="19">
        <v>0</v>
      </c>
      <c r="W133" s="19">
        <v>206.39546564589773</v>
      </c>
      <c r="X133" s="23">
        <v>1175.6764656458977</v>
      </c>
      <c r="Y133" s="22">
        <v>9.4904462912918219E-3</v>
      </c>
      <c r="Z133" s="19">
        <v>0.50734754464280807</v>
      </c>
      <c r="AA133" s="19">
        <v>3.5282785359788842E-2</v>
      </c>
      <c r="AB133" s="19">
        <v>0.54263033000259686</v>
      </c>
      <c r="AC133" s="19">
        <v>0</v>
      </c>
      <c r="AD133" s="19">
        <v>205.52091471995891</v>
      </c>
      <c r="AE133" s="23">
        <v>1174.8019147199589</v>
      </c>
      <c r="AF133" s="27">
        <v>1.1152845500629007E-2</v>
      </c>
      <c r="AG133" s="19">
        <v>0.59621735446906032</v>
      </c>
      <c r="AH133" s="19">
        <v>3.5282785359788842E-2</v>
      </c>
      <c r="AI133" s="19">
        <v>0.63150013982884912</v>
      </c>
      <c r="AJ133" s="19">
        <v>0</v>
      </c>
      <c r="AK133" s="19">
        <v>204.09899776273824</v>
      </c>
      <c r="AL133" s="23">
        <v>1173.3799977627382</v>
      </c>
      <c r="AM133" s="22">
        <v>1.4104604303736145E-2</v>
      </c>
      <c r="AN133" s="19">
        <v>0.75676661531854661</v>
      </c>
      <c r="AO133" s="19">
        <v>3.5282785359788842E-2</v>
      </c>
      <c r="AP133" s="19">
        <v>0.7920494006783354</v>
      </c>
      <c r="AQ133" s="19">
        <v>0</v>
      </c>
      <c r="AR133" s="19">
        <v>201.53020958914794</v>
      </c>
      <c r="AS133" s="23">
        <v>1170.8112095891479</v>
      </c>
    </row>
    <row r="134" spans="5:46">
      <c r="E134" s="35" t="str">
        <f t="shared" si="56"/>
        <v/>
      </c>
      <c r="F134" s="19">
        <v>262</v>
      </c>
      <c r="G134" s="19">
        <v>980.28399999999999</v>
      </c>
      <c r="H134" s="19">
        <v>2</v>
      </c>
      <c r="I134" s="19">
        <v>2.2000000000000002</v>
      </c>
      <c r="J134" s="36">
        <v>4.0831050228310497</v>
      </c>
      <c r="K134" s="36">
        <v>1.0741261942924094</v>
      </c>
      <c r="L134" s="37">
        <v>2091219.139330355</v>
      </c>
      <c r="M134" s="37" t="s">
        <v>96</v>
      </c>
      <c r="N134" s="23">
        <v>194.9044947487663</v>
      </c>
      <c r="O134" s="57">
        <v>193.9752843899563</v>
      </c>
      <c r="P134" s="66">
        <v>14.224854188596799</v>
      </c>
      <c r="Q134" s="68">
        <v>1533567.2725800683</v>
      </c>
      <c r="R134" s="27">
        <v>8.4679866037394684E-3</v>
      </c>
      <c r="S134" s="19">
        <v>0.45268811177167712</v>
      </c>
      <c r="T134" s="19">
        <v>3.5282785359788842E-2</v>
      </c>
      <c r="U134" s="19">
        <v>0.48797089713146596</v>
      </c>
      <c r="V134" s="19">
        <v>0</v>
      </c>
      <c r="W134" s="19">
        <v>194.9044947487663</v>
      </c>
      <c r="X134" s="23">
        <v>1175.1884947487663</v>
      </c>
      <c r="Y134" s="22">
        <v>9.4904462912918219E-3</v>
      </c>
      <c r="Z134" s="19">
        <v>0.50734754464280807</v>
      </c>
      <c r="AA134" s="19">
        <v>3.5282785359788842E-2</v>
      </c>
      <c r="AB134" s="19">
        <v>0.54263033000259686</v>
      </c>
      <c r="AC134" s="19">
        <v>0</v>
      </c>
      <c r="AD134" s="19">
        <v>193.9752843899563</v>
      </c>
      <c r="AE134" s="23">
        <v>1174.2592843899563</v>
      </c>
      <c r="AF134" s="27">
        <v>1.1152845500629007E-2</v>
      </c>
      <c r="AG134" s="19">
        <v>0.59621735446906032</v>
      </c>
      <c r="AH134" s="19">
        <v>3.5282785359788842E-2</v>
      </c>
      <c r="AI134" s="19">
        <v>0.63150013982884912</v>
      </c>
      <c r="AJ134" s="19">
        <v>0</v>
      </c>
      <c r="AK134" s="19">
        <v>192.46449762290933</v>
      </c>
      <c r="AL134" s="23">
        <v>1172.7484976229093</v>
      </c>
      <c r="AM134" s="22">
        <v>1.4104604303736145E-2</v>
      </c>
      <c r="AN134" s="19">
        <v>0.75676661531854661</v>
      </c>
      <c r="AO134" s="19">
        <v>3.5282785359788842E-2</v>
      </c>
      <c r="AP134" s="19">
        <v>0.7920494006783354</v>
      </c>
      <c r="AQ134" s="19">
        <v>0</v>
      </c>
      <c r="AR134" s="19">
        <v>189.73516018846965</v>
      </c>
      <c r="AS134" s="23">
        <v>1170.0191601884696</v>
      </c>
    </row>
    <row r="135" spans="5:46">
      <c r="E135" s="35" t="str">
        <f t="shared" si="56"/>
        <v/>
      </c>
      <c r="F135" s="19">
        <v>264</v>
      </c>
      <c r="G135" s="19">
        <v>986.55100000000004</v>
      </c>
      <c r="H135" s="19">
        <v>2</v>
      </c>
      <c r="I135" s="19">
        <v>2.2000000000000002</v>
      </c>
      <c r="J135" s="36">
        <v>4.0831050228310497</v>
      </c>
      <c r="K135" s="36">
        <v>1.0741261942924094</v>
      </c>
      <c r="L135" s="37">
        <v>2091219.139330355</v>
      </c>
      <c r="M135" s="37" t="s">
        <v>96</v>
      </c>
      <c r="N135" s="23">
        <v>188.14952385163485</v>
      </c>
      <c r="O135" s="57">
        <v>187.16565405995368</v>
      </c>
      <c r="P135" s="66">
        <v>13.75</v>
      </c>
      <c r="Q135" s="68">
        <v>1482695.7604373412</v>
      </c>
      <c r="R135" s="27">
        <v>8.4679866037394684E-3</v>
      </c>
      <c r="S135" s="19">
        <v>0.45268811177167712</v>
      </c>
      <c r="T135" s="19">
        <v>3.5282785359788842E-2</v>
      </c>
      <c r="U135" s="19">
        <v>0.48797089713146596</v>
      </c>
      <c r="V135" s="19">
        <v>0</v>
      </c>
      <c r="W135" s="19">
        <v>188.14952385163485</v>
      </c>
      <c r="X135" s="23">
        <v>1174.7005238516349</v>
      </c>
      <c r="Y135" s="22">
        <v>9.4904462912918219E-3</v>
      </c>
      <c r="Z135" s="19">
        <v>0.50734754464280807</v>
      </c>
      <c r="AA135" s="19">
        <v>3.5282785359788842E-2</v>
      </c>
      <c r="AB135" s="19">
        <v>0.54263033000259686</v>
      </c>
      <c r="AC135" s="19">
        <v>0</v>
      </c>
      <c r="AD135" s="19">
        <v>187.16565405995368</v>
      </c>
      <c r="AE135" s="23">
        <v>1173.7166540599537</v>
      </c>
      <c r="AF135" s="27">
        <v>1.1152845500629007E-2</v>
      </c>
      <c r="AG135" s="19">
        <v>0.59621735446906032</v>
      </c>
      <c r="AH135" s="19">
        <v>3.5282785359788842E-2</v>
      </c>
      <c r="AI135" s="19">
        <v>0.63150013982884912</v>
      </c>
      <c r="AJ135" s="19">
        <v>0</v>
      </c>
      <c r="AK135" s="19">
        <v>185.56599748308042</v>
      </c>
      <c r="AL135" s="23">
        <v>1172.1169974830805</v>
      </c>
      <c r="AM135" s="22">
        <v>1.4104604303736145E-2</v>
      </c>
      <c r="AN135" s="19">
        <v>0.75676661531854661</v>
      </c>
      <c r="AO135" s="19">
        <v>3.5282785359788842E-2</v>
      </c>
      <c r="AP135" s="19">
        <v>0.7920494006783354</v>
      </c>
      <c r="AQ135" s="19">
        <v>0</v>
      </c>
      <c r="AR135" s="19">
        <v>182.67611078779134</v>
      </c>
      <c r="AS135" s="23">
        <v>1169.2271107877914</v>
      </c>
    </row>
    <row r="136" spans="5:46">
      <c r="E136" s="35" t="str">
        <f t="shared" si="56"/>
        <v/>
      </c>
      <c r="F136" s="19">
        <v>266</v>
      </c>
      <c r="G136" s="19">
        <v>989.19799999999998</v>
      </c>
      <c r="H136" s="19">
        <v>2</v>
      </c>
      <c r="I136" s="19">
        <v>2.2000000000000002</v>
      </c>
      <c r="J136" s="36">
        <v>4.0831050228310497</v>
      </c>
      <c r="K136" s="36">
        <v>1.0741261942924094</v>
      </c>
      <c r="L136" s="37">
        <v>2091219.139330355</v>
      </c>
      <c r="M136" s="37" t="s">
        <v>96</v>
      </c>
      <c r="N136" s="23">
        <v>185.01455295450353</v>
      </c>
      <c r="O136" s="57">
        <v>183.97602372995118</v>
      </c>
      <c r="P136" s="66">
        <v>13.75</v>
      </c>
      <c r="Q136" s="68">
        <v>1482695.7604373412</v>
      </c>
      <c r="R136" s="27">
        <v>8.4679866037394684E-3</v>
      </c>
      <c r="S136" s="19">
        <v>0.45268811177167712</v>
      </c>
      <c r="T136" s="19">
        <v>3.5282785359788842E-2</v>
      </c>
      <c r="U136" s="19">
        <v>0.48797089713146596</v>
      </c>
      <c r="V136" s="19">
        <v>0</v>
      </c>
      <c r="W136" s="19">
        <v>185.01455295450353</v>
      </c>
      <c r="X136" s="23">
        <v>1174.2125529545035</v>
      </c>
      <c r="Y136" s="22">
        <v>9.4904462912918219E-3</v>
      </c>
      <c r="Z136" s="19">
        <v>0.50734754464280807</v>
      </c>
      <c r="AA136" s="19">
        <v>3.5282785359788842E-2</v>
      </c>
      <c r="AB136" s="19">
        <v>0.54263033000259686</v>
      </c>
      <c r="AC136" s="19">
        <v>0</v>
      </c>
      <c r="AD136" s="19">
        <v>183.97602372995118</v>
      </c>
      <c r="AE136" s="23">
        <v>1173.1740237299512</v>
      </c>
      <c r="AF136" s="27">
        <v>1.1152845500629007E-2</v>
      </c>
      <c r="AG136" s="19">
        <v>0.59621735446906032</v>
      </c>
      <c r="AH136" s="19">
        <v>3.5282785359788842E-2</v>
      </c>
      <c r="AI136" s="19">
        <v>0.63150013982884912</v>
      </c>
      <c r="AJ136" s="19">
        <v>0</v>
      </c>
      <c r="AK136" s="19">
        <v>182.28749734325163</v>
      </c>
      <c r="AL136" s="23">
        <v>1171.4854973432516</v>
      </c>
      <c r="AM136" s="22">
        <v>1.4104604303736145E-2</v>
      </c>
      <c r="AN136" s="19">
        <v>0.75676661531854661</v>
      </c>
      <c r="AO136" s="19">
        <v>3.5282785359788842E-2</v>
      </c>
      <c r="AP136" s="19">
        <v>0.7920494006783354</v>
      </c>
      <c r="AQ136" s="19">
        <v>0</v>
      </c>
      <c r="AR136" s="19">
        <v>179.23706138711316</v>
      </c>
      <c r="AS136" s="23">
        <v>1168.4350613871131</v>
      </c>
    </row>
    <row r="137" spans="5:46">
      <c r="E137" s="35" t="str">
        <f t="shared" si="56"/>
        <v/>
      </c>
      <c r="F137" s="19">
        <v>268</v>
      </c>
      <c r="G137" s="19">
        <v>994.39</v>
      </c>
      <c r="H137" s="19">
        <v>2</v>
      </c>
      <c r="I137" s="19">
        <v>2.2000000000000002</v>
      </c>
      <c r="J137" s="36">
        <v>4.0831050228310497</v>
      </c>
      <c r="K137" s="36">
        <v>1.0741261942924094</v>
      </c>
      <c r="L137" s="37">
        <v>2091219.139330355</v>
      </c>
      <c r="M137" s="37" t="s">
        <v>96</v>
      </c>
      <c r="N137" s="23">
        <v>179.33458205737213</v>
      </c>
      <c r="O137" s="57">
        <v>178.24139339994861</v>
      </c>
      <c r="P137" s="66">
        <v>13.75</v>
      </c>
      <c r="Q137" s="68">
        <v>1482695.7604373412</v>
      </c>
      <c r="R137" s="27">
        <v>8.4679866037394684E-3</v>
      </c>
      <c r="S137" s="19">
        <v>0.45268811177167712</v>
      </c>
      <c r="T137" s="19">
        <v>3.5282785359788842E-2</v>
      </c>
      <c r="U137" s="19">
        <v>0.48797089713146596</v>
      </c>
      <c r="V137" s="19">
        <v>0</v>
      </c>
      <c r="W137" s="19">
        <v>179.33458205737213</v>
      </c>
      <c r="X137" s="23">
        <v>1173.7245820573721</v>
      </c>
      <c r="Y137" s="22">
        <v>9.4904462912918219E-3</v>
      </c>
      <c r="Z137" s="19">
        <v>0.50734754464280807</v>
      </c>
      <c r="AA137" s="19">
        <v>3.5282785359788842E-2</v>
      </c>
      <c r="AB137" s="19">
        <v>0.54263033000259686</v>
      </c>
      <c r="AC137" s="19">
        <v>0</v>
      </c>
      <c r="AD137" s="19">
        <v>178.24139339994861</v>
      </c>
      <c r="AE137" s="23">
        <v>1172.6313933999486</v>
      </c>
      <c r="AF137" s="27">
        <v>1.1152845500629007E-2</v>
      </c>
      <c r="AG137" s="19">
        <v>0.59621735446906032</v>
      </c>
      <c r="AH137" s="19">
        <v>3.5282785359788842E-2</v>
      </c>
      <c r="AI137" s="19">
        <v>0.63150013982884912</v>
      </c>
      <c r="AJ137" s="19">
        <v>0</v>
      </c>
      <c r="AK137" s="19">
        <v>176.46399720342276</v>
      </c>
      <c r="AL137" s="23">
        <v>1170.8539972034228</v>
      </c>
      <c r="AM137" s="22">
        <v>1.4104604303736145E-2</v>
      </c>
      <c r="AN137" s="19">
        <v>0.75676661531854661</v>
      </c>
      <c r="AO137" s="19">
        <v>3.5282785359788842E-2</v>
      </c>
      <c r="AP137" s="19">
        <v>0.7920494006783354</v>
      </c>
      <c r="AQ137" s="19">
        <v>0</v>
      </c>
      <c r="AR137" s="19">
        <v>173.2530119864349</v>
      </c>
      <c r="AS137" s="23">
        <v>1167.6430119864349</v>
      </c>
    </row>
    <row r="138" spans="5:46">
      <c r="E138" s="35" t="str">
        <f t="shared" si="56"/>
        <v/>
      </c>
      <c r="F138" s="19">
        <v>270</v>
      </c>
      <c r="G138" s="19">
        <v>999.91700000000003</v>
      </c>
      <c r="H138" s="19">
        <v>2</v>
      </c>
      <c r="I138" s="19">
        <v>2.2000000000000002</v>
      </c>
      <c r="J138" s="36">
        <v>4.0831050228310497</v>
      </c>
      <c r="K138" s="36">
        <v>1.0741261942924094</v>
      </c>
      <c r="L138" s="37">
        <v>2091219.139330355</v>
      </c>
      <c r="M138" s="37" t="s">
        <v>96</v>
      </c>
      <c r="N138" s="23">
        <v>173.3196111602407</v>
      </c>
      <c r="O138" s="57">
        <v>172.171763069946</v>
      </c>
      <c r="P138" s="66">
        <v>13.75</v>
      </c>
      <c r="Q138" s="68">
        <v>1482695.7604373412</v>
      </c>
      <c r="R138" s="27">
        <v>8.4679866037394684E-3</v>
      </c>
      <c r="S138" s="19">
        <v>0.45268811177167712</v>
      </c>
      <c r="T138" s="19">
        <v>3.5282785359788842E-2</v>
      </c>
      <c r="U138" s="19">
        <v>0.48797089713146596</v>
      </c>
      <c r="V138" s="19">
        <v>0</v>
      </c>
      <c r="W138" s="19">
        <v>173.3196111602407</v>
      </c>
      <c r="X138" s="23">
        <v>1173.2366111602407</v>
      </c>
      <c r="Y138" s="22">
        <v>9.4904462912918219E-3</v>
      </c>
      <c r="Z138" s="19">
        <v>0.50734754464280807</v>
      </c>
      <c r="AA138" s="19">
        <v>3.5282785359788842E-2</v>
      </c>
      <c r="AB138" s="19">
        <v>0.54263033000259686</v>
      </c>
      <c r="AC138" s="19">
        <v>0</v>
      </c>
      <c r="AD138" s="19">
        <v>172.171763069946</v>
      </c>
      <c r="AE138" s="23">
        <v>1172.088763069946</v>
      </c>
      <c r="AF138" s="27">
        <v>1.1152845500629007E-2</v>
      </c>
      <c r="AG138" s="19">
        <v>0.59621735446906032</v>
      </c>
      <c r="AH138" s="19">
        <v>3.5282785359788842E-2</v>
      </c>
      <c r="AI138" s="19">
        <v>0.63150013982884912</v>
      </c>
      <c r="AJ138" s="19">
        <v>0</v>
      </c>
      <c r="AK138" s="19">
        <v>170.30549706359386</v>
      </c>
      <c r="AL138" s="23">
        <v>1170.2224970635939</v>
      </c>
      <c r="AM138" s="22">
        <v>1.4104604303736145E-2</v>
      </c>
      <c r="AN138" s="19">
        <v>0.75676661531854661</v>
      </c>
      <c r="AO138" s="19">
        <v>3.5282785359788842E-2</v>
      </c>
      <c r="AP138" s="19">
        <v>0.7920494006783354</v>
      </c>
      <c r="AQ138" s="19">
        <v>0</v>
      </c>
      <c r="AR138" s="19">
        <v>166.9339625857566</v>
      </c>
      <c r="AS138" s="23">
        <v>1166.8509625857566</v>
      </c>
    </row>
    <row r="139" spans="5:46">
      <c r="E139" s="35" t="str">
        <f t="shared" si="56"/>
        <v/>
      </c>
      <c r="F139" s="19">
        <v>272</v>
      </c>
      <c r="G139" s="19">
        <v>1004.623</v>
      </c>
      <c r="H139" s="19">
        <v>2</v>
      </c>
      <c r="I139" s="19">
        <v>2.2000000000000002</v>
      </c>
      <c r="J139" s="36">
        <v>4.0831050228310497</v>
      </c>
      <c r="K139" s="36">
        <v>1.0741261942924094</v>
      </c>
      <c r="L139" s="37">
        <v>2091219.139330355</v>
      </c>
      <c r="M139" s="37" t="s">
        <v>96</v>
      </c>
      <c r="N139" s="23">
        <v>168.12564026310929</v>
      </c>
      <c r="O139" s="57">
        <v>166.92313273994341</v>
      </c>
      <c r="P139" s="66">
        <v>13.75</v>
      </c>
      <c r="Q139" s="68">
        <v>1482695.7604373412</v>
      </c>
      <c r="R139" s="27">
        <v>8.4679866037394684E-3</v>
      </c>
      <c r="S139" s="19">
        <v>0.45268811177167712</v>
      </c>
      <c r="T139" s="19">
        <v>3.5282785359788842E-2</v>
      </c>
      <c r="U139" s="19">
        <v>0.48797089713146596</v>
      </c>
      <c r="V139" s="19">
        <v>0</v>
      </c>
      <c r="W139" s="19">
        <v>168.12564026310929</v>
      </c>
      <c r="X139" s="23">
        <v>1172.7486402631093</v>
      </c>
      <c r="Y139" s="22">
        <v>9.4904462912918219E-3</v>
      </c>
      <c r="Z139" s="19">
        <v>0.50734754464280807</v>
      </c>
      <c r="AA139" s="19">
        <v>3.5282785359788842E-2</v>
      </c>
      <c r="AB139" s="19">
        <v>0.54263033000259686</v>
      </c>
      <c r="AC139" s="19">
        <v>0</v>
      </c>
      <c r="AD139" s="19">
        <v>166.92313273994341</v>
      </c>
      <c r="AE139" s="23">
        <v>1171.5461327399435</v>
      </c>
      <c r="AF139" s="27">
        <v>1.1152845500629007E-2</v>
      </c>
      <c r="AG139" s="19">
        <v>0.59621735446906032</v>
      </c>
      <c r="AH139" s="19">
        <v>3.5282785359788842E-2</v>
      </c>
      <c r="AI139" s="19">
        <v>0.63150013982884912</v>
      </c>
      <c r="AJ139" s="19">
        <v>0</v>
      </c>
      <c r="AK139" s="19">
        <v>164.96799692376499</v>
      </c>
      <c r="AL139" s="23">
        <v>1169.590996923765</v>
      </c>
      <c r="AM139" s="22">
        <v>1.4104604303736145E-2</v>
      </c>
      <c r="AN139" s="19">
        <v>0.75676661531854661</v>
      </c>
      <c r="AO139" s="19">
        <v>3.5282785359788842E-2</v>
      </c>
      <c r="AP139" s="19">
        <v>0.7920494006783354</v>
      </c>
      <c r="AQ139" s="19">
        <v>0</v>
      </c>
      <c r="AR139" s="19">
        <v>161.43591318507833</v>
      </c>
      <c r="AS139" s="23">
        <v>1166.0589131850784</v>
      </c>
      <c r="AT139" s="11">
        <f>AS139-AP139</f>
        <v>1165.2668637844001</v>
      </c>
    </row>
    <row r="140" spans="5:46">
      <c r="E140" s="35" t="str">
        <f t="shared" si="56"/>
        <v/>
      </c>
      <c r="F140" s="19">
        <v>274</v>
      </c>
      <c r="G140" s="19">
        <v>1008.819</v>
      </c>
      <c r="H140" s="19">
        <v>2</v>
      </c>
      <c r="I140" s="19">
        <v>2.2000000000000002</v>
      </c>
      <c r="J140" s="36">
        <v>4.0831050228310497</v>
      </c>
      <c r="K140" s="36">
        <v>1.0741261942924094</v>
      </c>
      <c r="L140" s="37">
        <v>2091219.139330355</v>
      </c>
      <c r="M140" s="37" t="s">
        <v>96</v>
      </c>
      <c r="N140" s="23">
        <v>163.44166936597799</v>
      </c>
      <c r="O140" s="57">
        <v>162.18450240994093</v>
      </c>
      <c r="P140" s="66">
        <v>13.75</v>
      </c>
      <c r="Q140" s="68">
        <v>1482695.7604373412</v>
      </c>
      <c r="R140" s="27">
        <v>8.4679866037394684E-3</v>
      </c>
      <c r="S140" s="19">
        <v>0.45268811177167712</v>
      </c>
      <c r="T140" s="19">
        <v>3.5282785359788842E-2</v>
      </c>
      <c r="U140" s="19">
        <v>0.48797089713146596</v>
      </c>
      <c r="V140" s="19">
        <v>0</v>
      </c>
      <c r="W140" s="19">
        <v>163.44166936597799</v>
      </c>
      <c r="X140" s="23">
        <v>1172.2606693659779</v>
      </c>
      <c r="Y140" s="22">
        <v>9.4904462912918219E-3</v>
      </c>
      <c r="Z140" s="19">
        <v>0.50734754464280807</v>
      </c>
      <c r="AA140" s="19">
        <v>3.5282785359788842E-2</v>
      </c>
      <c r="AB140" s="19">
        <v>0.54263033000259686</v>
      </c>
      <c r="AC140" s="19">
        <v>0</v>
      </c>
      <c r="AD140" s="19">
        <v>162.18450240994093</v>
      </c>
      <c r="AE140" s="23">
        <v>1171.0035024099409</v>
      </c>
      <c r="AF140" s="27">
        <v>1.1152845500629007E-2</v>
      </c>
      <c r="AG140" s="19">
        <v>0.59621735446906032</v>
      </c>
      <c r="AH140" s="19">
        <v>3.5282785359788842E-2</v>
      </c>
      <c r="AI140" s="19">
        <v>0.63150013982884912</v>
      </c>
      <c r="AJ140" s="19">
        <v>0</v>
      </c>
      <c r="AK140" s="19">
        <v>160.14049678393621</v>
      </c>
      <c r="AL140" s="23">
        <v>1168.9594967839362</v>
      </c>
      <c r="AM140" s="22">
        <v>1.4104604303736145E-2</v>
      </c>
      <c r="AN140" s="19">
        <v>0.75676661531854661</v>
      </c>
      <c r="AO140" s="19">
        <v>3.5282785359788842E-2</v>
      </c>
      <c r="AP140" s="19">
        <v>0.7920494006783354</v>
      </c>
      <c r="AQ140" s="19">
        <v>0</v>
      </c>
      <c r="AR140" s="19">
        <v>156.44786378440017</v>
      </c>
      <c r="AS140" s="23">
        <v>1165.2668637844001</v>
      </c>
      <c r="AT140" s="11">
        <f>AS140-AT139</f>
        <v>0</v>
      </c>
    </row>
    <row r="141" spans="5:46">
      <c r="E141" s="35" t="str">
        <f t="shared" si="56"/>
        <v/>
      </c>
      <c r="F141" s="19">
        <v>276</v>
      </c>
      <c r="G141" s="19">
        <v>1007.8339999999999</v>
      </c>
      <c r="H141" s="19">
        <v>2</v>
      </c>
      <c r="I141" s="19">
        <v>2.2000000000000002</v>
      </c>
      <c r="J141" s="36">
        <v>4.0831050228310497</v>
      </c>
      <c r="K141" s="36">
        <v>1.0741261942924094</v>
      </c>
      <c r="L141" s="37">
        <v>2091219.139330355</v>
      </c>
      <c r="M141" s="37" t="s">
        <v>96</v>
      </c>
      <c r="N141" s="23">
        <v>163.93869846884661</v>
      </c>
      <c r="O141" s="57">
        <v>162.62687207993838</v>
      </c>
      <c r="P141" s="66">
        <v>13.75</v>
      </c>
      <c r="Q141" s="68">
        <v>1482695.7604373412</v>
      </c>
      <c r="R141" s="27">
        <v>8.4679866037394684E-3</v>
      </c>
      <c r="S141" s="19">
        <v>0.45268811177167712</v>
      </c>
      <c r="T141" s="19">
        <v>3.5282785359788842E-2</v>
      </c>
      <c r="U141" s="19">
        <v>0.48797089713146596</v>
      </c>
      <c r="V141" s="19">
        <v>0</v>
      </c>
      <c r="W141" s="19">
        <v>163.93869846884661</v>
      </c>
      <c r="X141" s="23">
        <v>1171.7726984688466</v>
      </c>
      <c r="Y141" s="22">
        <v>9.4904462912918219E-3</v>
      </c>
      <c r="Z141" s="19">
        <v>0.50734754464280807</v>
      </c>
      <c r="AA141" s="19">
        <v>3.5282785359788842E-2</v>
      </c>
      <c r="AB141" s="19">
        <v>0.54263033000259686</v>
      </c>
      <c r="AC141" s="19">
        <v>0</v>
      </c>
      <c r="AD141" s="19">
        <v>162.62687207993838</v>
      </c>
      <c r="AE141" s="23">
        <v>1170.4608720799383</v>
      </c>
      <c r="AF141" s="27">
        <v>1.1152845500629007E-2</v>
      </c>
      <c r="AG141" s="19">
        <v>0.59621735446906032</v>
      </c>
      <c r="AH141" s="19">
        <v>3.5282785359788842E-2</v>
      </c>
      <c r="AI141" s="19">
        <v>0.63150013982884912</v>
      </c>
      <c r="AJ141" s="19">
        <v>0</v>
      </c>
      <c r="AK141" s="19">
        <v>160.49399664410737</v>
      </c>
      <c r="AL141" s="23">
        <v>1168.3279966441073</v>
      </c>
      <c r="AM141" s="22">
        <v>1.4104604303736145E-2</v>
      </c>
      <c r="AN141" s="19">
        <v>0.75676661531854661</v>
      </c>
      <c r="AO141" s="19">
        <v>3.5282785359788842E-2</v>
      </c>
      <c r="AP141" s="19">
        <v>0.7920494006783354</v>
      </c>
      <c r="AQ141" s="19">
        <v>0</v>
      </c>
      <c r="AR141" s="19">
        <v>156.64081438372193</v>
      </c>
      <c r="AS141" s="23">
        <v>1164.4748143837219</v>
      </c>
    </row>
    <row r="142" spans="5:46">
      <c r="E142" s="35" t="str">
        <f t="shared" si="56"/>
        <v/>
      </c>
      <c r="F142" s="19">
        <v>278</v>
      </c>
      <c r="G142" s="19">
        <v>1005.626</v>
      </c>
      <c r="H142" s="19">
        <v>2</v>
      </c>
      <c r="I142" s="19">
        <v>2.2000000000000002</v>
      </c>
      <c r="J142" s="36">
        <v>4.0831050228310497</v>
      </c>
      <c r="K142" s="36">
        <v>1.0741261942924094</v>
      </c>
      <c r="L142" s="37">
        <v>2091219.139330355</v>
      </c>
      <c r="M142" s="37" t="s">
        <v>96</v>
      </c>
      <c r="N142" s="23">
        <v>165.65872757171519</v>
      </c>
      <c r="O142" s="57">
        <v>164.29224174993578</v>
      </c>
      <c r="P142" s="66">
        <v>13.75</v>
      </c>
      <c r="Q142" s="68">
        <v>1482695.7604373412</v>
      </c>
      <c r="R142" s="27">
        <v>8.4679866037394684E-3</v>
      </c>
      <c r="S142" s="19">
        <v>0.45268811177167712</v>
      </c>
      <c r="T142" s="19">
        <v>3.5282785359788842E-2</v>
      </c>
      <c r="U142" s="19">
        <v>0.48797089713146596</v>
      </c>
      <c r="V142" s="19">
        <v>0</v>
      </c>
      <c r="W142" s="19">
        <v>165.65872757171519</v>
      </c>
      <c r="X142" s="23">
        <v>1171.2847275717152</v>
      </c>
      <c r="Y142" s="22">
        <v>9.4904462912918219E-3</v>
      </c>
      <c r="Z142" s="19">
        <v>0.50734754464280807</v>
      </c>
      <c r="AA142" s="19">
        <v>3.5282785359788842E-2</v>
      </c>
      <c r="AB142" s="19">
        <v>0.54263033000259686</v>
      </c>
      <c r="AC142" s="19">
        <v>0</v>
      </c>
      <c r="AD142" s="19">
        <v>164.29224174993578</v>
      </c>
      <c r="AE142" s="23">
        <v>1169.9182417499358</v>
      </c>
      <c r="AF142" s="27">
        <v>1.1152845500629007E-2</v>
      </c>
      <c r="AG142" s="19">
        <v>0.59621735446906032</v>
      </c>
      <c r="AH142" s="19">
        <v>3.5282785359788842E-2</v>
      </c>
      <c r="AI142" s="19">
        <v>0.63150013982884912</v>
      </c>
      <c r="AJ142" s="19">
        <v>0</v>
      </c>
      <c r="AK142" s="19">
        <v>162.07049650427848</v>
      </c>
      <c r="AL142" s="23">
        <v>1167.6964965042785</v>
      </c>
      <c r="AM142" s="22">
        <v>1.4104604303736145E-2</v>
      </c>
      <c r="AN142" s="19">
        <v>0.75676661531854661</v>
      </c>
      <c r="AO142" s="19">
        <v>3.5282785359788842E-2</v>
      </c>
      <c r="AP142" s="19">
        <v>0.7920494006783354</v>
      </c>
      <c r="AQ142" s="19">
        <v>0</v>
      </c>
      <c r="AR142" s="19">
        <v>158.05676498304365</v>
      </c>
      <c r="AS142" s="23">
        <v>1163.6827649830436</v>
      </c>
    </row>
    <row r="143" spans="5:46">
      <c r="E143" s="35" t="str">
        <f t="shared" si="56"/>
        <v/>
      </c>
      <c r="F143" s="19">
        <v>280</v>
      </c>
      <c r="G143" s="19">
        <v>1001.623</v>
      </c>
      <c r="H143" s="19">
        <v>2</v>
      </c>
      <c r="I143" s="19">
        <v>2.2000000000000002</v>
      </c>
      <c r="J143" s="36">
        <v>4.0831050228310497</v>
      </c>
      <c r="K143" s="36">
        <v>1.0741261942924094</v>
      </c>
      <c r="L143" s="37">
        <v>2091219.139330355</v>
      </c>
      <c r="M143" s="37" t="s">
        <v>96</v>
      </c>
      <c r="N143" s="23">
        <v>169.17375667458373</v>
      </c>
      <c r="O143" s="57">
        <v>167.75261141993315</v>
      </c>
      <c r="P143" s="66">
        <v>13.75</v>
      </c>
      <c r="Q143" s="68">
        <v>1482695.7604373412</v>
      </c>
      <c r="R143" s="27">
        <v>8.4679866037394684E-3</v>
      </c>
      <c r="S143" s="19">
        <v>0.45268811177167712</v>
      </c>
      <c r="T143" s="19">
        <v>3.5282785359788842E-2</v>
      </c>
      <c r="U143" s="19">
        <v>0.48797089713146596</v>
      </c>
      <c r="V143" s="19">
        <v>0</v>
      </c>
      <c r="W143" s="19">
        <v>169.17375667458373</v>
      </c>
      <c r="X143" s="23">
        <v>1170.7967566745838</v>
      </c>
      <c r="Y143" s="22">
        <v>9.4904462912918219E-3</v>
      </c>
      <c r="Z143" s="19">
        <v>0.50734754464280807</v>
      </c>
      <c r="AA143" s="19">
        <v>3.5282785359788842E-2</v>
      </c>
      <c r="AB143" s="19">
        <v>0.54263033000259686</v>
      </c>
      <c r="AC143" s="19">
        <v>0</v>
      </c>
      <c r="AD143" s="19">
        <v>167.75261141993315</v>
      </c>
      <c r="AE143" s="23">
        <v>1169.3756114199332</v>
      </c>
      <c r="AF143" s="27">
        <v>1.1152845500629007E-2</v>
      </c>
      <c r="AG143" s="19">
        <v>0.59621735446906032</v>
      </c>
      <c r="AH143" s="19">
        <v>3.5282785359788842E-2</v>
      </c>
      <c r="AI143" s="19">
        <v>0.63150013982884912</v>
      </c>
      <c r="AJ143" s="19">
        <v>0</v>
      </c>
      <c r="AK143" s="19">
        <v>165.44199636444955</v>
      </c>
      <c r="AL143" s="23">
        <v>1167.0649963644496</v>
      </c>
      <c r="AM143" s="22">
        <v>1.4104604303736145E-2</v>
      </c>
      <c r="AN143" s="19">
        <v>0.75676661531854661</v>
      </c>
      <c r="AO143" s="19">
        <v>3.5282785359788842E-2</v>
      </c>
      <c r="AP143" s="19">
        <v>0.7920494006783354</v>
      </c>
      <c r="AQ143" s="19">
        <v>0</v>
      </c>
      <c r="AR143" s="19">
        <v>161.26771558236533</v>
      </c>
      <c r="AS143" s="23">
        <v>1162.8907155823654</v>
      </c>
    </row>
    <row r="144" spans="5:46">
      <c r="E144" s="35" t="str">
        <f t="shared" si="56"/>
        <v/>
      </c>
      <c r="F144" s="19">
        <v>282</v>
      </c>
      <c r="G144" s="19">
        <v>1004.052</v>
      </c>
      <c r="H144" s="19">
        <v>2</v>
      </c>
      <c r="I144" s="19">
        <v>2.2000000000000002</v>
      </c>
      <c r="J144" s="36">
        <v>4.0831050228310497</v>
      </c>
      <c r="K144" s="36">
        <v>1.0741261942924094</v>
      </c>
      <c r="L144" s="37">
        <v>2091219.139330355</v>
      </c>
      <c r="M144" s="37" t="s">
        <v>96</v>
      </c>
      <c r="N144" s="23">
        <v>166.25678577745236</v>
      </c>
      <c r="O144" s="57">
        <v>164.78098108993061</v>
      </c>
      <c r="P144" s="66">
        <v>13.75</v>
      </c>
      <c r="Q144" s="68">
        <v>1482695.7604373412</v>
      </c>
      <c r="R144" s="27">
        <v>8.4679866037394684E-3</v>
      </c>
      <c r="S144" s="19">
        <v>0.45268811177167712</v>
      </c>
      <c r="T144" s="19">
        <v>3.5282785359788842E-2</v>
      </c>
      <c r="U144" s="19">
        <v>0.48797089713146596</v>
      </c>
      <c r="V144" s="19">
        <v>0</v>
      </c>
      <c r="W144" s="19">
        <v>166.25678577745236</v>
      </c>
      <c r="X144" s="23">
        <v>1170.3087857774524</v>
      </c>
      <c r="Y144" s="22">
        <v>9.4904462912918219E-3</v>
      </c>
      <c r="Z144" s="19">
        <v>0.50734754464280807</v>
      </c>
      <c r="AA144" s="19">
        <v>3.5282785359788842E-2</v>
      </c>
      <c r="AB144" s="19">
        <v>0.54263033000259686</v>
      </c>
      <c r="AC144" s="19">
        <v>0</v>
      </c>
      <c r="AD144" s="19">
        <v>164.78098108993061</v>
      </c>
      <c r="AE144" s="23">
        <v>1168.8329810899306</v>
      </c>
      <c r="AF144" s="27">
        <v>1.1152845500629007E-2</v>
      </c>
      <c r="AG144" s="19">
        <v>0.59621735446906032</v>
      </c>
      <c r="AH144" s="19">
        <v>3.5282785359788842E-2</v>
      </c>
      <c r="AI144" s="19">
        <v>0.63150013982884912</v>
      </c>
      <c r="AJ144" s="19">
        <v>0</v>
      </c>
      <c r="AK144" s="19">
        <v>162.38149622462072</v>
      </c>
      <c r="AL144" s="23">
        <v>1166.4334962246207</v>
      </c>
      <c r="AM144" s="22">
        <v>1.4104604303736145E-2</v>
      </c>
      <c r="AN144" s="19">
        <v>0.75676661531854661</v>
      </c>
      <c r="AO144" s="19">
        <v>3.5282785359788842E-2</v>
      </c>
      <c r="AP144" s="19">
        <v>0.7920494006783354</v>
      </c>
      <c r="AQ144" s="19">
        <v>0</v>
      </c>
      <c r="AR144" s="19">
        <v>158.0466661816871</v>
      </c>
      <c r="AS144" s="23">
        <v>1162.0986661816871</v>
      </c>
    </row>
    <row r="145" spans="5:45">
      <c r="E145" s="35" t="str">
        <f t="shared" si="56"/>
        <v/>
      </c>
      <c r="F145" s="19">
        <v>284</v>
      </c>
      <c r="G145" s="19">
        <v>1010.797</v>
      </c>
      <c r="H145" s="19">
        <v>2</v>
      </c>
      <c r="I145" s="19">
        <v>2.2000000000000002</v>
      </c>
      <c r="J145" s="36">
        <v>4.0831050228310497</v>
      </c>
      <c r="K145" s="36">
        <v>1.0741261942924094</v>
      </c>
      <c r="L145" s="37">
        <v>2091219.139330355</v>
      </c>
      <c r="M145" s="37" t="s">
        <v>96</v>
      </c>
      <c r="N145" s="23">
        <v>159.02381488032097</v>
      </c>
      <c r="O145" s="57">
        <v>157.49335075992803</v>
      </c>
      <c r="P145" s="66">
        <v>13.75</v>
      </c>
      <c r="Q145" s="68">
        <v>1482695.7604373412</v>
      </c>
      <c r="R145" s="27">
        <v>8.4679866037394684E-3</v>
      </c>
      <c r="S145" s="19">
        <v>0.45268811177167712</v>
      </c>
      <c r="T145" s="19">
        <v>3.5282785359788842E-2</v>
      </c>
      <c r="U145" s="19">
        <v>0.48797089713146596</v>
      </c>
      <c r="V145" s="19">
        <v>0</v>
      </c>
      <c r="W145" s="19">
        <v>159.02381488032097</v>
      </c>
      <c r="X145" s="23">
        <v>1169.820814880321</v>
      </c>
      <c r="Y145" s="22">
        <v>9.4904462912918219E-3</v>
      </c>
      <c r="Z145" s="19">
        <v>0.50734754464280807</v>
      </c>
      <c r="AA145" s="19">
        <v>3.5282785359788842E-2</v>
      </c>
      <c r="AB145" s="19">
        <v>0.54263033000259686</v>
      </c>
      <c r="AC145" s="19">
        <v>0</v>
      </c>
      <c r="AD145" s="19">
        <v>157.49335075992803</v>
      </c>
      <c r="AE145" s="23">
        <v>1168.2903507599281</v>
      </c>
      <c r="AF145" s="27">
        <v>1.1152845500629007E-2</v>
      </c>
      <c r="AG145" s="19">
        <v>0.59621735446906032</v>
      </c>
      <c r="AH145" s="19">
        <v>3.5282785359788842E-2</v>
      </c>
      <c r="AI145" s="19">
        <v>0.63150013982884912</v>
      </c>
      <c r="AJ145" s="19">
        <v>0</v>
      </c>
      <c r="AK145" s="19">
        <v>155.00499608479186</v>
      </c>
      <c r="AL145" s="23">
        <v>1165.8019960847919</v>
      </c>
      <c r="AM145" s="22">
        <v>1.4104604303736145E-2</v>
      </c>
      <c r="AN145" s="19">
        <v>0.75676661531854661</v>
      </c>
      <c r="AO145" s="19">
        <v>3.5282785359788842E-2</v>
      </c>
      <c r="AP145" s="19">
        <v>0.7920494006783354</v>
      </c>
      <c r="AQ145" s="19">
        <v>0</v>
      </c>
      <c r="AR145" s="19">
        <v>150.50961678100884</v>
      </c>
      <c r="AS145" s="23">
        <v>1161.3066167810089</v>
      </c>
    </row>
    <row r="146" spans="5:45">
      <c r="E146" s="35" t="str">
        <f t="shared" si="56"/>
        <v/>
      </c>
      <c r="F146" s="19">
        <v>286</v>
      </c>
      <c r="G146" s="19">
        <v>1014.67</v>
      </c>
      <c r="H146" s="19">
        <v>2</v>
      </c>
      <c r="I146" s="19">
        <v>2.2000000000000002</v>
      </c>
      <c r="J146" s="36">
        <v>4.0831050228310497</v>
      </c>
      <c r="K146" s="36">
        <v>1.0741261942924094</v>
      </c>
      <c r="L146" s="37">
        <v>2091219.139330355</v>
      </c>
      <c r="M146" s="37" t="s">
        <v>96</v>
      </c>
      <c r="N146" s="23">
        <v>154.66284398318965</v>
      </c>
      <c r="O146" s="57">
        <v>153.07772042992553</v>
      </c>
      <c r="P146" s="66">
        <v>13.75</v>
      </c>
      <c r="Q146" s="68">
        <v>1482695.7604373412</v>
      </c>
      <c r="R146" s="27">
        <v>8.4679866037394684E-3</v>
      </c>
      <c r="S146" s="19">
        <v>0.45268811177167712</v>
      </c>
      <c r="T146" s="19">
        <v>3.5282785359788842E-2</v>
      </c>
      <c r="U146" s="19">
        <v>0.48797089713146596</v>
      </c>
      <c r="V146" s="19">
        <v>0</v>
      </c>
      <c r="W146" s="19">
        <v>154.66284398318965</v>
      </c>
      <c r="X146" s="23">
        <v>1169.3328439831896</v>
      </c>
      <c r="Y146" s="22">
        <v>9.4904462912918219E-3</v>
      </c>
      <c r="Z146" s="19">
        <v>0.50734754464280807</v>
      </c>
      <c r="AA146" s="19">
        <v>3.5282785359788842E-2</v>
      </c>
      <c r="AB146" s="19">
        <v>0.54263033000259686</v>
      </c>
      <c r="AC146" s="19">
        <v>0</v>
      </c>
      <c r="AD146" s="19">
        <v>153.07772042992553</v>
      </c>
      <c r="AE146" s="23">
        <v>1167.7477204299255</v>
      </c>
      <c r="AF146" s="27">
        <v>1.1152845500629007E-2</v>
      </c>
      <c r="AG146" s="19">
        <v>0.59621735446906032</v>
      </c>
      <c r="AH146" s="19">
        <v>3.5282785359788842E-2</v>
      </c>
      <c r="AI146" s="19">
        <v>0.63150013982884912</v>
      </c>
      <c r="AJ146" s="19">
        <v>0</v>
      </c>
      <c r="AK146" s="19">
        <v>150.50049594496306</v>
      </c>
      <c r="AL146" s="23">
        <v>1165.170495944963</v>
      </c>
      <c r="AM146" s="22">
        <v>1.4104604303736145E-2</v>
      </c>
      <c r="AN146" s="19">
        <v>0.75676661531854661</v>
      </c>
      <c r="AO146" s="19">
        <v>3.5282785359788842E-2</v>
      </c>
      <c r="AP146" s="19">
        <v>0.7920494006783354</v>
      </c>
      <c r="AQ146" s="19">
        <v>0</v>
      </c>
      <c r="AR146" s="19">
        <v>145.84456738033066</v>
      </c>
      <c r="AS146" s="23">
        <v>1160.5145673803306</v>
      </c>
    </row>
    <row r="147" spans="5:45">
      <c r="E147" s="35" t="str">
        <f t="shared" si="56"/>
        <v/>
      </c>
      <c r="F147" s="19">
        <v>288</v>
      </c>
      <c r="G147" s="19">
        <v>1017.319</v>
      </c>
      <c r="H147" s="19">
        <v>2</v>
      </c>
      <c r="I147" s="19">
        <v>2.2000000000000002</v>
      </c>
      <c r="J147" s="36">
        <v>4.0831050228310497</v>
      </c>
      <c r="K147" s="36">
        <v>1.0741261942924094</v>
      </c>
      <c r="L147" s="37">
        <v>2091219.139330355</v>
      </c>
      <c r="M147" s="37" t="s">
        <v>96</v>
      </c>
      <c r="N147" s="23">
        <v>151.52587308605825</v>
      </c>
      <c r="O147" s="57">
        <v>149.88609009992297</v>
      </c>
      <c r="P147" s="66">
        <v>13.75</v>
      </c>
      <c r="Q147" s="68">
        <v>1482695.7604373412</v>
      </c>
      <c r="R147" s="27">
        <v>8.4679866037394684E-3</v>
      </c>
      <c r="S147" s="19">
        <v>0.45268811177167712</v>
      </c>
      <c r="T147" s="19">
        <v>3.5282785359788842E-2</v>
      </c>
      <c r="U147" s="19">
        <v>0.48797089713146596</v>
      </c>
      <c r="V147" s="19">
        <v>0</v>
      </c>
      <c r="W147" s="19">
        <v>151.52587308605825</v>
      </c>
      <c r="X147" s="23">
        <v>1168.8448730860582</v>
      </c>
      <c r="Y147" s="22">
        <v>9.4904462912918219E-3</v>
      </c>
      <c r="Z147" s="19">
        <v>0.50734754464280807</v>
      </c>
      <c r="AA147" s="19">
        <v>3.5282785359788842E-2</v>
      </c>
      <c r="AB147" s="19">
        <v>0.54263033000259686</v>
      </c>
      <c r="AC147" s="19">
        <v>0</v>
      </c>
      <c r="AD147" s="19">
        <v>149.88609009992297</v>
      </c>
      <c r="AE147" s="23">
        <v>1167.2050900999229</v>
      </c>
      <c r="AF147" s="27">
        <v>1.1152845500629007E-2</v>
      </c>
      <c r="AG147" s="19">
        <v>0.59621735446906032</v>
      </c>
      <c r="AH147" s="19">
        <v>3.5282785359788842E-2</v>
      </c>
      <c r="AI147" s="19">
        <v>0.63150013982884912</v>
      </c>
      <c r="AJ147" s="19">
        <v>0</v>
      </c>
      <c r="AK147" s="19">
        <v>147.2199958051342</v>
      </c>
      <c r="AL147" s="23">
        <v>1164.5389958051342</v>
      </c>
      <c r="AM147" s="22">
        <v>1.4104604303736145E-2</v>
      </c>
      <c r="AN147" s="19">
        <v>0.75676661531854661</v>
      </c>
      <c r="AO147" s="19">
        <v>3.5282785359788842E-2</v>
      </c>
      <c r="AP147" s="19">
        <v>0.7920494006783354</v>
      </c>
      <c r="AQ147" s="19">
        <v>0</v>
      </c>
      <c r="AR147" s="19">
        <v>142.40351797965241</v>
      </c>
      <c r="AS147" s="23">
        <v>1159.7225179796524</v>
      </c>
    </row>
    <row r="148" spans="5:45">
      <c r="E148" s="35" t="str">
        <f t="shared" si="56"/>
        <v/>
      </c>
      <c r="F148" s="19">
        <v>290</v>
      </c>
      <c r="G148" s="19">
        <v>1027.4590000000001</v>
      </c>
      <c r="H148" s="19">
        <v>2</v>
      </c>
      <c r="I148" s="19">
        <v>2.2000000000000002</v>
      </c>
      <c r="J148" s="36">
        <v>4.0831050228310497</v>
      </c>
      <c r="K148" s="36">
        <v>1.0741261942924094</v>
      </c>
      <c r="L148" s="37">
        <v>2091219.139330355</v>
      </c>
      <c r="M148" s="37" t="s">
        <v>96</v>
      </c>
      <c r="N148" s="23">
        <v>140.89790218892676</v>
      </c>
      <c r="O148" s="57">
        <v>139.2034597699203</v>
      </c>
      <c r="P148" s="66">
        <v>13.75</v>
      </c>
      <c r="Q148" s="68">
        <v>1482695.7604373412</v>
      </c>
      <c r="R148" s="27">
        <v>8.4679866037394684E-3</v>
      </c>
      <c r="S148" s="19">
        <v>0.45268811177167712</v>
      </c>
      <c r="T148" s="19">
        <v>3.5282785359788842E-2</v>
      </c>
      <c r="U148" s="19">
        <v>0.48797089713146596</v>
      </c>
      <c r="V148" s="19">
        <v>0</v>
      </c>
      <c r="W148" s="19">
        <v>140.89790218892676</v>
      </c>
      <c r="X148" s="23">
        <v>1168.3569021889268</v>
      </c>
      <c r="Y148" s="22">
        <v>9.4904462912918219E-3</v>
      </c>
      <c r="Z148" s="19">
        <v>0.50734754464280807</v>
      </c>
      <c r="AA148" s="19">
        <v>3.5282785359788842E-2</v>
      </c>
      <c r="AB148" s="19">
        <v>0.54263033000259686</v>
      </c>
      <c r="AC148" s="19">
        <v>0</v>
      </c>
      <c r="AD148" s="19">
        <v>139.2034597699203</v>
      </c>
      <c r="AE148" s="23">
        <v>1166.6624597699204</v>
      </c>
      <c r="AF148" s="27">
        <v>1.1152845500629007E-2</v>
      </c>
      <c r="AG148" s="19">
        <v>0.59621735446906032</v>
      </c>
      <c r="AH148" s="19">
        <v>3.5282785359788842E-2</v>
      </c>
      <c r="AI148" s="19">
        <v>0.63150013982884912</v>
      </c>
      <c r="AJ148" s="19">
        <v>0</v>
      </c>
      <c r="AK148" s="19">
        <v>136.44849566530524</v>
      </c>
      <c r="AL148" s="23">
        <v>1163.9074956653053</v>
      </c>
      <c r="AM148" s="22">
        <v>1.4104604303736145E-2</v>
      </c>
      <c r="AN148" s="19">
        <v>0.75676661531854661</v>
      </c>
      <c r="AO148" s="19">
        <v>3.5282785359788842E-2</v>
      </c>
      <c r="AP148" s="19">
        <v>0.7920494006783354</v>
      </c>
      <c r="AQ148" s="19">
        <v>0</v>
      </c>
      <c r="AR148" s="19">
        <v>131.47146857897405</v>
      </c>
      <c r="AS148" s="23">
        <v>1158.9304685789741</v>
      </c>
    </row>
    <row r="149" spans="5:45">
      <c r="E149" s="35" t="str">
        <f t="shared" si="56"/>
        <v/>
      </c>
      <c r="F149" s="19">
        <v>292</v>
      </c>
      <c r="G149" s="19">
        <v>1031.99</v>
      </c>
      <c r="H149" s="19">
        <v>2</v>
      </c>
      <c r="I149" s="19">
        <v>2.2000000000000002</v>
      </c>
      <c r="J149" s="36">
        <v>4.0831050228310497</v>
      </c>
      <c r="K149" s="36">
        <v>1.0741261942924094</v>
      </c>
      <c r="L149" s="37">
        <v>2091219.139330355</v>
      </c>
      <c r="M149" s="37" t="s">
        <v>96</v>
      </c>
      <c r="N149" s="23">
        <v>135.87893129179542</v>
      </c>
      <c r="O149" s="57">
        <v>134.12982943991778</v>
      </c>
      <c r="P149" s="66">
        <v>13.75</v>
      </c>
      <c r="Q149" s="68">
        <v>1482695.7604373412</v>
      </c>
      <c r="R149" s="27">
        <v>8.4679866037394684E-3</v>
      </c>
      <c r="S149" s="19">
        <v>0.45268811177167712</v>
      </c>
      <c r="T149" s="19">
        <v>3.5282785359788842E-2</v>
      </c>
      <c r="U149" s="19">
        <v>0.48797089713146596</v>
      </c>
      <c r="V149" s="19">
        <v>0</v>
      </c>
      <c r="W149" s="19">
        <v>135.87893129179542</v>
      </c>
      <c r="X149" s="23">
        <v>1167.8689312917954</v>
      </c>
      <c r="Y149" s="22">
        <v>9.4904462912918219E-3</v>
      </c>
      <c r="Z149" s="19">
        <v>0.50734754464280807</v>
      </c>
      <c r="AA149" s="19">
        <v>3.5282785359788842E-2</v>
      </c>
      <c r="AB149" s="19">
        <v>0.54263033000259686</v>
      </c>
      <c r="AC149" s="19">
        <v>0</v>
      </c>
      <c r="AD149" s="19">
        <v>134.12982943991778</v>
      </c>
      <c r="AE149" s="23">
        <v>1166.1198294399178</v>
      </c>
      <c r="AF149" s="27">
        <v>1.1152845500629007E-2</v>
      </c>
      <c r="AG149" s="19">
        <v>0.59621735446906032</v>
      </c>
      <c r="AH149" s="19">
        <v>3.5282785359788842E-2</v>
      </c>
      <c r="AI149" s="19">
        <v>0.63150013982884912</v>
      </c>
      <c r="AJ149" s="19">
        <v>0</v>
      </c>
      <c r="AK149" s="19">
        <v>131.28599552547644</v>
      </c>
      <c r="AL149" s="23">
        <v>1163.2759955254764</v>
      </c>
      <c r="AM149" s="22">
        <v>1.4104604303736145E-2</v>
      </c>
      <c r="AN149" s="19">
        <v>0.75676661531854661</v>
      </c>
      <c r="AO149" s="19">
        <v>3.5282785359788842E-2</v>
      </c>
      <c r="AP149" s="19">
        <v>0.7920494006783354</v>
      </c>
      <c r="AQ149" s="19">
        <v>0</v>
      </c>
      <c r="AR149" s="19">
        <v>126.14841917829585</v>
      </c>
      <c r="AS149" s="23">
        <v>1158.1384191782959</v>
      </c>
    </row>
    <row r="150" spans="5:45">
      <c r="E150" s="35" t="str">
        <f t="shared" si="56"/>
        <v/>
      </c>
      <c r="F150" s="19">
        <v>294</v>
      </c>
      <c r="G150" s="19">
        <v>1036.2539999999999</v>
      </c>
      <c r="H150" s="19">
        <v>2</v>
      </c>
      <c r="I150" s="19">
        <v>2.2000000000000002</v>
      </c>
      <c r="J150" s="36">
        <v>4.0831050228310497</v>
      </c>
      <c r="K150" s="36">
        <v>1.0741261942924094</v>
      </c>
      <c r="L150" s="37">
        <v>2091219.139330355</v>
      </c>
      <c r="M150" s="37" t="s">
        <v>96</v>
      </c>
      <c r="N150" s="23">
        <v>131.12696039466414</v>
      </c>
      <c r="O150" s="57">
        <v>129.32319910991532</v>
      </c>
      <c r="P150" s="66">
        <v>13.75</v>
      </c>
      <c r="Q150" s="68">
        <v>1482695.7604373412</v>
      </c>
      <c r="R150" s="27">
        <v>8.4679866037394684E-3</v>
      </c>
      <c r="S150" s="19">
        <v>0.45268811177167712</v>
      </c>
      <c r="T150" s="19">
        <v>3.5282785359788842E-2</v>
      </c>
      <c r="U150" s="19">
        <v>0.48797089713146596</v>
      </c>
      <c r="V150" s="19">
        <v>0</v>
      </c>
      <c r="W150" s="19">
        <v>131.12696039466414</v>
      </c>
      <c r="X150" s="23">
        <v>1167.380960394664</v>
      </c>
      <c r="Y150" s="22">
        <v>9.4904462912918219E-3</v>
      </c>
      <c r="Z150" s="19">
        <v>0.50734754464280807</v>
      </c>
      <c r="AA150" s="19">
        <v>3.5282785359788842E-2</v>
      </c>
      <c r="AB150" s="19">
        <v>0.54263033000259686</v>
      </c>
      <c r="AC150" s="19">
        <v>0</v>
      </c>
      <c r="AD150" s="19">
        <v>129.32319910991532</v>
      </c>
      <c r="AE150" s="23">
        <v>1165.5771991099152</v>
      </c>
      <c r="AF150" s="27">
        <v>1.1152845500629007E-2</v>
      </c>
      <c r="AG150" s="19">
        <v>0.59621735446906032</v>
      </c>
      <c r="AH150" s="19">
        <v>3.5282785359788842E-2</v>
      </c>
      <c r="AI150" s="19">
        <v>0.63150013982884912</v>
      </c>
      <c r="AJ150" s="19">
        <v>0</v>
      </c>
      <c r="AK150" s="19">
        <v>126.39049538564768</v>
      </c>
      <c r="AL150" s="23">
        <v>1162.6444953856476</v>
      </c>
      <c r="AM150" s="22">
        <v>1.4104604303736145E-2</v>
      </c>
      <c r="AN150" s="19">
        <v>0.75676661531854661</v>
      </c>
      <c r="AO150" s="19">
        <v>3.5282785359788842E-2</v>
      </c>
      <c r="AP150" s="19">
        <v>0.7920494006783354</v>
      </c>
      <c r="AQ150" s="19">
        <v>0</v>
      </c>
      <c r="AR150" s="19">
        <v>121.09236977761771</v>
      </c>
      <c r="AS150" s="23">
        <v>1157.3463697776176</v>
      </c>
    </row>
    <row r="151" spans="5:45">
      <c r="E151" s="35" t="str">
        <f t="shared" si="56"/>
        <v/>
      </c>
      <c r="F151" s="19">
        <v>296</v>
      </c>
      <c r="G151" s="19">
        <v>1040.127</v>
      </c>
      <c r="H151" s="19">
        <v>2</v>
      </c>
      <c r="I151" s="19">
        <v>2.2000000000000002</v>
      </c>
      <c r="J151" s="36">
        <v>4.0831050228310497</v>
      </c>
      <c r="K151" s="36">
        <v>1.0741261942924094</v>
      </c>
      <c r="L151" s="37">
        <v>2091219.139330355</v>
      </c>
      <c r="M151" s="37" t="s">
        <v>96</v>
      </c>
      <c r="N151" s="23">
        <v>126.7659894975327</v>
      </c>
      <c r="O151" s="57">
        <v>124.90756877991271</v>
      </c>
      <c r="P151" s="66">
        <v>13.75</v>
      </c>
      <c r="Q151" s="68">
        <v>1482695.7604373412</v>
      </c>
      <c r="R151" s="27">
        <v>8.4679866037394684E-3</v>
      </c>
      <c r="S151" s="19">
        <v>0.45268811177167712</v>
      </c>
      <c r="T151" s="19">
        <v>3.5282785359788842E-2</v>
      </c>
      <c r="U151" s="19">
        <v>0.48797089713146596</v>
      </c>
      <c r="V151" s="19">
        <v>0</v>
      </c>
      <c r="W151" s="19">
        <v>126.7659894975327</v>
      </c>
      <c r="X151" s="23">
        <v>1166.8929894975327</v>
      </c>
      <c r="Y151" s="22">
        <v>9.4904462912918219E-3</v>
      </c>
      <c r="Z151" s="19">
        <v>0.50734754464280807</v>
      </c>
      <c r="AA151" s="19">
        <v>3.5282785359788842E-2</v>
      </c>
      <c r="AB151" s="19">
        <v>0.54263033000259686</v>
      </c>
      <c r="AC151" s="19">
        <v>0</v>
      </c>
      <c r="AD151" s="19">
        <v>124.90756877991271</v>
      </c>
      <c r="AE151" s="23">
        <v>1165.0345687799127</v>
      </c>
      <c r="AF151" s="27">
        <v>1.1152845500629007E-2</v>
      </c>
      <c r="AG151" s="19">
        <v>0.59621735446906032</v>
      </c>
      <c r="AH151" s="19">
        <v>3.5282785359788842E-2</v>
      </c>
      <c r="AI151" s="19">
        <v>0.63150013982884912</v>
      </c>
      <c r="AJ151" s="19">
        <v>0</v>
      </c>
      <c r="AK151" s="19">
        <v>121.88599524581878</v>
      </c>
      <c r="AL151" s="23">
        <v>1162.0129952458187</v>
      </c>
      <c r="AM151" s="22">
        <v>1.4104604303736145E-2</v>
      </c>
      <c r="AN151" s="19">
        <v>0.75676661531854661</v>
      </c>
      <c r="AO151" s="19">
        <v>3.5282785359788842E-2</v>
      </c>
      <c r="AP151" s="19">
        <v>0.7920494006783354</v>
      </c>
      <c r="AQ151" s="19">
        <v>0</v>
      </c>
      <c r="AR151" s="19">
        <v>116.42732037693941</v>
      </c>
      <c r="AS151" s="23">
        <v>1156.5543203769394</v>
      </c>
    </row>
    <row r="152" spans="5:45">
      <c r="E152" s="35" t="str">
        <f t="shared" si="56"/>
        <v/>
      </c>
      <c r="F152" s="19">
        <v>298</v>
      </c>
      <c r="G152" s="19">
        <v>1044.396</v>
      </c>
      <c r="H152" s="19">
        <v>2</v>
      </c>
      <c r="I152" s="19">
        <v>2.2000000000000002</v>
      </c>
      <c r="J152" s="36">
        <v>4.0831050228310497</v>
      </c>
      <c r="K152" s="36">
        <v>1.0741261942924094</v>
      </c>
      <c r="L152" s="37">
        <v>2091219.139330355</v>
      </c>
      <c r="M152" s="37" t="s">
        <v>96</v>
      </c>
      <c r="N152" s="23">
        <v>122.0090186004013</v>
      </c>
      <c r="O152" s="57">
        <v>120.09593844991014</v>
      </c>
      <c r="P152" s="66">
        <v>13.75</v>
      </c>
      <c r="Q152" s="68">
        <v>1482695.7604373412</v>
      </c>
      <c r="R152" s="27">
        <v>8.4679866037394684E-3</v>
      </c>
      <c r="S152" s="19">
        <v>0.45268811177167712</v>
      </c>
      <c r="T152" s="19">
        <v>3.5282785359788842E-2</v>
      </c>
      <c r="U152" s="19">
        <v>0.48797089713146596</v>
      </c>
      <c r="V152" s="19">
        <v>0</v>
      </c>
      <c r="W152" s="19">
        <v>122.0090186004013</v>
      </c>
      <c r="X152" s="23">
        <v>1166.4050186004013</v>
      </c>
      <c r="Y152" s="22">
        <v>9.4904462912918219E-3</v>
      </c>
      <c r="Z152" s="19">
        <v>0.50734754464280807</v>
      </c>
      <c r="AA152" s="19">
        <v>3.5282785359788842E-2</v>
      </c>
      <c r="AB152" s="19">
        <v>0.54263033000259686</v>
      </c>
      <c r="AC152" s="19">
        <v>0</v>
      </c>
      <c r="AD152" s="19">
        <v>120.09593844991014</v>
      </c>
      <c r="AE152" s="23">
        <v>1164.4919384499101</v>
      </c>
      <c r="AF152" s="27">
        <v>1.1152845500629007E-2</v>
      </c>
      <c r="AG152" s="19">
        <v>0.59621735446906032</v>
      </c>
      <c r="AH152" s="19">
        <v>3.5282785359788842E-2</v>
      </c>
      <c r="AI152" s="19">
        <v>0.63150013982884912</v>
      </c>
      <c r="AJ152" s="19">
        <v>0</v>
      </c>
      <c r="AK152" s="19">
        <v>116.98549510598991</v>
      </c>
      <c r="AL152" s="23">
        <v>1161.3814951059899</v>
      </c>
      <c r="AM152" s="22">
        <v>1.4104604303736145E-2</v>
      </c>
      <c r="AN152" s="19">
        <v>0.75676661531854661</v>
      </c>
      <c r="AO152" s="19">
        <v>3.5282785359788842E-2</v>
      </c>
      <c r="AP152" s="19">
        <v>0.7920494006783354</v>
      </c>
      <c r="AQ152" s="19">
        <v>0</v>
      </c>
      <c r="AR152" s="19">
        <v>111.36627097626115</v>
      </c>
      <c r="AS152" s="23">
        <v>1155.7622709762611</v>
      </c>
    </row>
    <row r="153" spans="5:45">
      <c r="E153" s="35" t="str">
        <f t="shared" si="56"/>
        <v/>
      </c>
      <c r="F153" s="19">
        <v>300</v>
      </c>
      <c r="G153" s="19">
        <v>1051.3389999999999</v>
      </c>
      <c r="H153" s="19">
        <v>2</v>
      </c>
      <c r="I153" s="19">
        <v>2.2000000000000002</v>
      </c>
      <c r="J153" s="36">
        <v>4.0831050228310497</v>
      </c>
      <c r="K153" s="36">
        <v>1.0741261942924094</v>
      </c>
      <c r="L153" s="37">
        <v>2091219.139330355</v>
      </c>
      <c r="M153" s="37" t="s">
        <v>96</v>
      </c>
      <c r="N153" s="23">
        <v>114.57804770326993</v>
      </c>
      <c r="O153" s="57">
        <v>112.61030811990759</v>
      </c>
      <c r="P153" s="66">
        <v>13.75</v>
      </c>
      <c r="Q153" s="68">
        <v>1482695.7604373412</v>
      </c>
      <c r="R153" s="27">
        <v>8.4679866037394684E-3</v>
      </c>
      <c r="S153" s="19">
        <v>0.45268811177167712</v>
      </c>
      <c r="T153" s="19">
        <v>3.5282785359788842E-2</v>
      </c>
      <c r="U153" s="19">
        <v>0.48797089713146596</v>
      </c>
      <c r="V153" s="19">
        <v>0</v>
      </c>
      <c r="W153" s="19">
        <v>114.57804770326993</v>
      </c>
      <c r="X153" s="23">
        <v>1165.9170477032699</v>
      </c>
      <c r="Y153" s="22">
        <v>9.4904462912918219E-3</v>
      </c>
      <c r="Z153" s="19">
        <v>0.50734754464280807</v>
      </c>
      <c r="AA153" s="19">
        <v>3.5282785359788842E-2</v>
      </c>
      <c r="AB153" s="19">
        <v>0.54263033000259686</v>
      </c>
      <c r="AC153" s="19">
        <v>0</v>
      </c>
      <c r="AD153" s="19">
        <v>112.61030811990759</v>
      </c>
      <c r="AE153" s="23">
        <v>1163.9493081199075</v>
      </c>
      <c r="AF153" s="27">
        <v>1.1152845500629007E-2</v>
      </c>
      <c r="AG153" s="19">
        <v>0.59621735446906032</v>
      </c>
      <c r="AH153" s="19">
        <v>3.5282785359788842E-2</v>
      </c>
      <c r="AI153" s="19">
        <v>0.63150013982884912</v>
      </c>
      <c r="AJ153" s="19">
        <v>0</v>
      </c>
      <c r="AK153" s="19">
        <v>109.41099496616107</v>
      </c>
      <c r="AL153" s="23">
        <v>1160.749994966161</v>
      </c>
      <c r="AM153" s="22">
        <v>1.4104604303736145E-2</v>
      </c>
      <c r="AN153" s="19">
        <v>0.75676661531854661</v>
      </c>
      <c r="AO153" s="19">
        <v>3.5282785359788842E-2</v>
      </c>
      <c r="AP153" s="19">
        <v>0.7920494006783354</v>
      </c>
      <c r="AQ153" s="19">
        <v>0</v>
      </c>
      <c r="AR153" s="19">
        <v>103.63122157558291</v>
      </c>
      <c r="AS153" s="23">
        <v>1154.9702215755829</v>
      </c>
    </row>
    <row r="154" spans="5:45">
      <c r="E154" s="35" t="str">
        <f t="shared" si="56"/>
        <v/>
      </c>
      <c r="F154" s="19">
        <v>302</v>
      </c>
      <c r="G154" s="19">
        <v>1060.9549999999999</v>
      </c>
      <c r="H154" s="19">
        <v>2</v>
      </c>
      <c r="I154" s="19">
        <v>2.2000000000000002</v>
      </c>
      <c r="J154" s="36">
        <v>4.0831050228310497</v>
      </c>
      <c r="K154" s="36">
        <v>1.0741261942924094</v>
      </c>
      <c r="L154" s="37">
        <v>2091219.139330355</v>
      </c>
      <c r="M154" s="37" t="s">
        <v>96</v>
      </c>
      <c r="N154" s="23">
        <v>104.47407680613856</v>
      </c>
      <c r="O154" s="57">
        <v>102.45167778990503</v>
      </c>
      <c r="P154" s="66">
        <v>13.75</v>
      </c>
      <c r="Q154" s="68">
        <v>1482695.7604373412</v>
      </c>
      <c r="R154" s="27">
        <v>8.4679866037394684E-3</v>
      </c>
      <c r="S154" s="19">
        <v>0.45268811177167712</v>
      </c>
      <c r="T154" s="19">
        <v>3.5282785359788842E-2</v>
      </c>
      <c r="U154" s="19">
        <v>0.48797089713146596</v>
      </c>
      <c r="V154" s="19">
        <v>0</v>
      </c>
      <c r="W154" s="19">
        <v>104.47407680613856</v>
      </c>
      <c r="X154" s="23">
        <v>1165.4290768061385</v>
      </c>
      <c r="Y154" s="22">
        <v>9.4904462912918219E-3</v>
      </c>
      <c r="Z154" s="19">
        <v>0.50734754464280807</v>
      </c>
      <c r="AA154" s="19">
        <v>3.5282785359788842E-2</v>
      </c>
      <c r="AB154" s="19">
        <v>0.54263033000259686</v>
      </c>
      <c r="AC154" s="19">
        <v>0</v>
      </c>
      <c r="AD154" s="19">
        <v>102.45167778990503</v>
      </c>
      <c r="AE154" s="23">
        <v>1163.406677789905</v>
      </c>
      <c r="AF154" s="27">
        <v>1.1152845500629007E-2</v>
      </c>
      <c r="AG154" s="19">
        <v>0.59621735446906032</v>
      </c>
      <c r="AH154" s="19">
        <v>3.5282785359788842E-2</v>
      </c>
      <c r="AI154" s="19">
        <v>0.63150013982884912</v>
      </c>
      <c r="AJ154" s="19">
        <v>0</v>
      </c>
      <c r="AK154" s="19">
        <v>99.163494826332226</v>
      </c>
      <c r="AL154" s="23">
        <v>1160.1184948263322</v>
      </c>
      <c r="AM154" s="22">
        <v>1.4104604303736145E-2</v>
      </c>
      <c r="AN154" s="19">
        <v>0.75676661531854661</v>
      </c>
      <c r="AO154" s="19">
        <v>3.5282785359788842E-2</v>
      </c>
      <c r="AP154" s="19">
        <v>0.7920494006783354</v>
      </c>
      <c r="AQ154" s="19">
        <v>0</v>
      </c>
      <c r="AR154" s="19">
        <v>93.223172174904676</v>
      </c>
      <c r="AS154" s="23">
        <v>1154.1781721749046</v>
      </c>
    </row>
    <row r="155" spans="5:45">
      <c r="E155" s="35" t="str">
        <f t="shared" si="56"/>
        <v/>
      </c>
      <c r="F155" s="19">
        <v>304</v>
      </c>
      <c r="G155" s="19">
        <v>1070.2270000000001</v>
      </c>
      <c r="H155" s="19">
        <v>2</v>
      </c>
      <c r="I155" s="19">
        <v>2.2000000000000002</v>
      </c>
      <c r="J155" s="36">
        <v>4.0831050228310497</v>
      </c>
      <c r="K155" s="36">
        <v>1.0741261942924094</v>
      </c>
      <c r="L155" s="37">
        <v>2091219.139330355</v>
      </c>
      <c r="M155" s="37" t="s">
        <v>96</v>
      </c>
      <c r="N155" s="23">
        <v>94.714105909007003</v>
      </c>
      <c r="O155" s="57">
        <v>92.637047459902305</v>
      </c>
      <c r="P155" s="66">
        <v>13.75</v>
      </c>
      <c r="Q155" s="68">
        <v>1482695.7604373412</v>
      </c>
      <c r="R155" s="27">
        <v>8.4679866037394684E-3</v>
      </c>
      <c r="S155" s="19">
        <v>0.45268811177167712</v>
      </c>
      <c r="T155" s="19">
        <v>3.5282785359788842E-2</v>
      </c>
      <c r="U155" s="19">
        <v>0.48797089713146596</v>
      </c>
      <c r="V155" s="19">
        <v>0</v>
      </c>
      <c r="W155" s="19">
        <v>94.714105909007003</v>
      </c>
      <c r="X155" s="23">
        <v>1164.9411059090071</v>
      </c>
      <c r="Y155" s="22">
        <v>9.4904462912918219E-3</v>
      </c>
      <c r="Z155" s="19">
        <v>0.50734754464280807</v>
      </c>
      <c r="AA155" s="19">
        <v>3.5282785359788842E-2</v>
      </c>
      <c r="AB155" s="19">
        <v>0.54263033000259686</v>
      </c>
      <c r="AC155" s="19">
        <v>0</v>
      </c>
      <c r="AD155" s="19">
        <v>92.637047459902305</v>
      </c>
      <c r="AE155" s="23">
        <v>1162.8640474599024</v>
      </c>
      <c r="AF155" s="27">
        <v>1.1152845500629007E-2</v>
      </c>
      <c r="AG155" s="19">
        <v>0.59621735446906032</v>
      </c>
      <c r="AH155" s="19">
        <v>3.5282785359788842E-2</v>
      </c>
      <c r="AI155" s="19">
        <v>0.63150013982884912</v>
      </c>
      <c r="AJ155" s="19">
        <v>0</v>
      </c>
      <c r="AK155" s="19">
        <v>89.259994686503205</v>
      </c>
      <c r="AL155" s="23">
        <v>1159.4869946865033</v>
      </c>
      <c r="AM155" s="22">
        <v>1.4104604303736145E-2</v>
      </c>
      <c r="AN155" s="19">
        <v>0.75676661531854661</v>
      </c>
      <c r="AO155" s="19">
        <v>3.5282785359788842E-2</v>
      </c>
      <c r="AP155" s="19">
        <v>0.7920494006783354</v>
      </c>
      <c r="AQ155" s="19">
        <v>0</v>
      </c>
      <c r="AR155" s="19">
        <v>83.159122774226262</v>
      </c>
      <c r="AS155" s="23">
        <v>1153.3861227742264</v>
      </c>
    </row>
    <row r="156" spans="5:45">
      <c r="E156" s="35" t="str">
        <f t="shared" si="56"/>
        <v/>
      </c>
      <c r="F156" s="19">
        <v>306</v>
      </c>
      <c r="G156" s="19">
        <v>1072.691</v>
      </c>
      <c r="H156" s="19">
        <v>2</v>
      </c>
      <c r="I156" s="19">
        <v>2.2000000000000002</v>
      </c>
      <c r="J156" s="36">
        <v>4.0831050228310497</v>
      </c>
      <c r="K156" s="36">
        <v>1.0741261942924094</v>
      </c>
      <c r="L156" s="37">
        <v>2091219.139330355</v>
      </c>
      <c r="M156" s="37" t="s">
        <v>96</v>
      </c>
      <c r="N156" s="23">
        <v>91.762135011875671</v>
      </c>
      <c r="O156" s="57">
        <v>89.630417129899797</v>
      </c>
      <c r="P156" s="66">
        <v>13.75</v>
      </c>
      <c r="Q156" s="68">
        <v>1482695.7604373412</v>
      </c>
      <c r="R156" s="27">
        <v>8.4679866037394684E-3</v>
      </c>
      <c r="S156" s="19">
        <v>0.45268811177167712</v>
      </c>
      <c r="T156" s="19">
        <v>3.5282785359788842E-2</v>
      </c>
      <c r="U156" s="19">
        <v>0.48797089713146596</v>
      </c>
      <c r="V156" s="19">
        <v>0</v>
      </c>
      <c r="W156" s="19">
        <v>91.762135011875671</v>
      </c>
      <c r="X156" s="23">
        <v>1164.4531350118757</v>
      </c>
      <c r="Y156" s="22">
        <v>9.4904462912918219E-3</v>
      </c>
      <c r="Z156" s="19">
        <v>0.50734754464280807</v>
      </c>
      <c r="AA156" s="19">
        <v>3.5282785359788842E-2</v>
      </c>
      <c r="AB156" s="19">
        <v>0.54263033000259686</v>
      </c>
      <c r="AC156" s="19">
        <v>0</v>
      </c>
      <c r="AD156" s="19">
        <v>89.630417129899797</v>
      </c>
      <c r="AE156" s="23">
        <v>1162.3214171298998</v>
      </c>
      <c r="AF156" s="27">
        <v>1.1152845500629007E-2</v>
      </c>
      <c r="AG156" s="19">
        <v>0.59621735446906032</v>
      </c>
      <c r="AH156" s="19">
        <v>3.5282785359788842E-2</v>
      </c>
      <c r="AI156" s="19">
        <v>0.63150013982884912</v>
      </c>
      <c r="AJ156" s="19">
        <v>0</v>
      </c>
      <c r="AK156" s="19">
        <v>86.164494546674405</v>
      </c>
      <c r="AL156" s="23">
        <v>1158.8554945466744</v>
      </c>
      <c r="AM156" s="22">
        <v>1.4104604303736145E-2</v>
      </c>
      <c r="AN156" s="19">
        <v>0.75676661531854661</v>
      </c>
      <c r="AO156" s="19">
        <v>3.5282785359788842E-2</v>
      </c>
      <c r="AP156" s="19">
        <v>0.7920494006783354</v>
      </c>
      <c r="AQ156" s="19">
        <v>0</v>
      </c>
      <c r="AR156" s="19">
        <v>79.903073373548068</v>
      </c>
      <c r="AS156" s="23">
        <v>1152.5940733735481</v>
      </c>
    </row>
    <row r="157" spans="5:45">
      <c r="E157" s="35" t="str">
        <f t="shared" si="56"/>
        <v/>
      </c>
      <c r="F157" s="19">
        <v>308</v>
      </c>
      <c r="G157" s="19">
        <v>1076.5029999999999</v>
      </c>
      <c r="H157" s="19">
        <v>2</v>
      </c>
      <c r="I157" s="19">
        <v>2.2000000000000002</v>
      </c>
      <c r="J157" s="36">
        <v>4.0831050228310497</v>
      </c>
      <c r="K157" s="36">
        <v>1.0741261942924094</v>
      </c>
      <c r="L157" s="37">
        <v>2091219.139330355</v>
      </c>
      <c r="M157" s="37" t="s">
        <v>96</v>
      </c>
      <c r="N157" s="23">
        <v>87.462164114744382</v>
      </c>
      <c r="O157" s="57">
        <v>85.275786799897332</v>
      </c>
      <c r="P157" s="66">
        <v>13.75</v>
      </c>
      <c r="Q157" s="68">
        <v>1482695.7604373412</v>
      </c>
      <c r="R157" s="27">
        <v>8.4679866037394684E-3</v>
      </c>
      <c r="S157" s="19">
        <v>0.45268811177167712</v>
      </c>
      <c r="T157" s="19">
        <v>3.5282785359788842E-2</v>
      </c>
      <c r="U157" s="19">
        <v>0.48797089713146596</v>
      </c>
      <c r="V157" s="19">
        <v>0</v>
      </c>
      <c r="W157" s="19">
        <v>87.462164114744382</v>
      </c>
      <c r="X157" s="23">
        <v>1163.9651641147443</v>
      </c>
      <c r="Y157" s="22">
        <v>9.4904462912918219E-3</v>
      </c>
      <c r="Z157" s="19">
        <v>0.50734754464280807</v>
      </c>
      <c r="AA157" s="19">
        <v>3.5282785359788842E-2</v>
      </c>
      <c r="AB157" s="19">
        <v>0.54263033000259686</v>
      </c>
      <c r="AC157" s="19">
        <v>0</v>
      </c>
      <c r="AD157" s="19">
        <v>85.275786799897332</v>
      </c>
      <c r="AE157" s="23">
        <v>1161.7787867998973</v>
      </c>
      <c r="AF157" s="27">
        <v>1.1152845500629007E-2</v>
      </c>
      <c r="AG157" s="19">
        <v>0.59621735446906032</v>
      </c>
      <c r="AH157" s="19">
        <v>3.5282785359788842E-2</v>
      </c>
      <c r="AI157" s="19">
        <v>0.63150013982884912</v>
      </c>
      <c r="AJ157" s="19">
        <v>0</v>
      </c>
      <c r="AK157" s="19">
        <v>81.720994406845648</v>
      </c>
      <c r="AL157" s="23">
        <v>1158.2239944068456</v>
      </c>
      <c r="AM157" s="22">
        <v>1.4104604303736145E-2</v>
      </c>
      <c r="AN157" s="19">
        <v>0.75676661531854661</v>
      </c>
      <c r="AO157" s="19">
        <v>3.5282785359788842E-2</v>
      </c>
      <c r="AP157" s="19">
        <v>0.7920494006783354</v>
      </c>
      <c r="AQ157" s="19">
        <v>0</v>
      </c>
      <c r="AR157" s="19">
        <v>75.299023972869918</v>
      </c>
      <c r="AS157" s="23">
        <v>1151.8020239728698</v>
      </c>
    </row>
    <row r="158" spans="5:45">
      <c r="E158" s="35" t="str">
        <f t="shared" si="56"/>
        <v/>
      </c>
      <c r="F158" s="19">
        <v>310</v>
      </c>
      <c r="G158" s="19">
        <v>1083.9960000000001</v>
      </c>
      <c r="H158" s="19">
        <v>2</v>
      </c>
      <c r="I158" s="19">
        <v>2.2000000000000002</v>
      </c>
      <c r="J158" s="36">
        <v>4.0831050228310497</v>
      </c>
      <c r="K158" s="36">
        <v>1.0741261942924094</v>
      </c>
      <c r="L158" s="37">
        <v>2091219.139330355</v>
      </c>
      <c r="M158" s="37" t="s">
        <v>96</v>
      </c>
      <c r="N158" s="23">
        <v>79.481193217612827</v>
      </c>
      <c r="O158" s="57">
        <v>77.2401564698946</v>
      </c>
      <c r="P158" s="66">
        <v>13.75</v>
      </c>
      <c r="Q158" s="68">
        <v>1482695.7604373412</v>
      </c>
      <c r="R158" s="27">
        <v>8.4679866037394684E-3</v>
      </c>
      <c r="S158" s="19">
        <v>0.45268811177167712</v>
      </c>
      <c r="T158" s="19">
        <v>3.5282785359788842E-2</v>
      </c>
      <c r="U158" s="19">
        <v>0.48797089713146596</v>
      </c>
      <c r="V158" s="19">
        <v>0</v>
      </c>
      <c r="W158" s="19">
        <v>79.481193217612827</v>
      </c>
      <c r="X158" s="23">
        <v>1163.4771932176129</v>
      </c>
      <c r="Y158" s="22">
        <v>9.4904462912918219E-3</v>
      </c>
      <c r="Z158" s="19">
        <v>0.50734754464280807</v>
      </c>
      <c r="AA158" s="19">
        <v>3.5282785359788842E-2</v>
      </c>
      <c r="AB158" s="19">
        <v>0.54263033000259686</v>
      </c>
      <c r="AC158" s="19">
        <v>0</v>
      </c>
      <c r="AD158" s="19">
        <v>77.2401564698946</v>
      </c>
      <c r="AE158" s="23">
        <v>1161.2361564698947</v>
      </c>
      <c r="AF158" s="27">
        <v>1.1152845500629007E-2</v>
      </c>
      <c r="AG158" s="19">
        <v>0.59621735446906032</v>
      </c>
      <c r="AH158" s="19">
        <v>3.5282785359788842E-2</v>
      </c>
      <c r="AI158" s="19">
        <v>0.63150013982884912</v>
      </c>
      <c r="AJ158" s="19">
        <v>0</v>
      </c>
      <c r="AK158" s="19">
        <v>73.596494267016624</v>
      </c>
      <c r="AL158" s="23">
        <v>1157.5924942670167</v>
      </c>
      <c r="AM158" s="22">
        <v>1.4104604303736145E-2</v>
      </c>
      <c r="AN158" s="19">
        <v>0.75676661531854661</v>
      </c>
      <c r="AO158" s="19">
        <v>3.5282785359788842E-2</v>
      </c>
      <c r="AP158" s="19">
        <v>0.7920494006783354</v>
      </c>
      <c r="AQ158" s="19">
        <v>0</v>
      </c>
      <c r="AR158" s="19">
        <v>67.013974572191501</v>
      </c>
      <c r="AS158" s="23">
        <v>1151.0099745721916</v>
      </c>
    </row>
    <row r="159" spans="5:45">
      <c r="E159" s="35" t="str">
        <f t="shared" si="56"/>
        <v/>
      </c>
      <c r="F159" s="19">
        <v>312</v>
      </c>
      <c r="G159" s="19">
        <v>1097.1880000000001</v>
      </c>
      <c r="H159" s="19">
        <v>2</v>
      </c>
      <c r="I159" s="19">
        <v>2.2000000000000002</v>
      </c>
      <c r="J159" s="36">
        <v>4.0831050228310497</v>
      </c>
      <c r="K159" s="36">
        <v>1.0741261942924094</v>
      </c>
      <c r="L159" s="37">
        <v>2091219.139330355</v>
      </c>
      <c r="M159" s="37" t="s">
        <v>96</v>
      </c>
      <c r="N159" s="23">
        <v>65.801222320481429</v>
      </c>
      <c r="O159" s="57">
        <v>63.505526139892027</v>
      </c>
      <c r="P159" s="66">
        <v>13.75</v>
      </c>
      <c r="Q159" s="68">
        <v>1482695.7604373412</v>
      </c>
      <c r="R159" s="27">
        <v>8.4679866037394684E-3</v>
      </c>
      <c r="S159" s="19">
        <v>0.45268811177167712</v>
      </c>
      <c r="T159" s="19">
        <v>3.5282785359788842E-2</v>
      </c>
      <c r="U159" s="19">
        <v>0.48797089713146596</v>
      </c>
      <c r="V159" s="19">
        <v>0</v>
      </c>
      <c r="W159" s="19">
        <v>65.801222320481429</v>
      </c>
      <c r="X159" s="23">
        <v>1162.9892223204815</v>
      </c>
      <c r="Y159" s="22">
        <v>9.4904462912918219E-3</v>
      </c>
      <c r="Z159" s="19">
        <v>0.50734754464280807</v>
      </c>
      <c r="AA159" s="19">
        <v>3.5282785359788842E-2</v>
      </c>
      <c r="AB159" s="19">
        <v>0.54263033000259686</v>
      </c>
      <c r="AC159" s="19">
        <v>0</v>
      </c>
      <c r="AD159" s="19">
        <v>63.505526139892027</v>
      </c>
      <c r="AE159" s="23">
        <v>1160.6935261398921</v>
      </c>
      <c r="AF159" s="27">
        <v>1.1152845500629007E-2</v>
      </c>
      <c r="AG159" s="19">
        <v>0.59621735446906032</v>
      </c>
      <c r="AH159" s="19">
        <v>3.5282785359788842E-2</v>
      </c>
      <c r="AI159" s="19">
        <v>0.63150013982884912</v>
      </c>
      <c r="AJ159" s="19">
        <v>0</v>
      </c>
      <c r="AK159" s="19">
        <v>59.772994127187758</v>
      </c>
      <c r="AL159" s="23">
        <v>1156.9609941271879</v>
      </c>
      <c r="AM159" s="22">
        <v>1.4104604303736145E-2</v>
      </c>
      <c r="AN159" s="19">
        <v>0.75676661531854661</v>
      </c>
      <c r="AO159" s="19">
        <v>3.5282785359788842E-2</v>
      </c>
      <c r="AP159" s="19">
        <v>0.7920494006783354</v>
      </c>
      <c r="AQ159" s="19">
        <v>0</v>
      </c>
      <c r="AR159" s="19">
        <v>53.029925171513241</v>
      </c>
      <c r="AS159" s="23">
        <v>1150.2179251715133</v>
      </c>
    </row>
    <row r="160" spans="5:45">
      <c r="E160" s="35" t="str">
        <f t="shared" si="56"/>
        <v/>
      </c>
      <c r="F160" s="19">
        <v>314</v>
      </c>
      <c r="G160" s="19">
        <v>1103.5450000000001</v>
      </c>
      <c r="H160" s="19">
        <v>2</v>
      </c>
      <c r="I160" s="19">
        <v>2.2000000000000002</v>
      </c>
      <c r="J160" s="36">
        <v>4.0831050228310497</v>
      </c>
      <c r="K160" s="36">
        <v>1.0741261942924094</v>
      </c>
      <c r="L160" s="37">
        <v>2091219.139330355</v>
      </c>
      <c r="M160" s="37" t="s">
        <v>96</v>
      </c>
      <c r="N160" s="23">
        <v>58.956251423350068</v>
      </c>
      <c r="O160" s="57">
        <v>56.605895809889489</v>
      </c>
      <c r="P160" s="66">
        <v>13.75</v>
      </c>
      <c r="Q160" s="68">
        <v>1482695.7604373412</v>
      </c>
      <c r="R160" s="27">
        <v>8.4679866037394684E-3</v>
      </c>
      <c r="S160" s="19">
        <v>0.45268811177167712</v>
      </c>
      <c r="T160" s="19">
        <v>3.5282785359788842E-2</v>
      </c>
      <c r="U160" s="19">
        <v>0.48797089713146596</v>
      </c>
      <c r="V160" s="19">
        <v>0</v>
      </c>
      <c r="W160" s="19">
        <v>58.956251423350068</v>
      </c>
      <c r="X160" s="23">
        <v>1162.5012514233501</v>
      </c>
      <c r="Y160" s="22">
        <v>9.4904462912918219E-3</v>
      </c>
      <c r="Z160" s="19">
        <v>0.50734754464280807</v>
      </c>
      <c r="AA160" s="19">
        <v>3.5282785359788842E-2</v>
      </c>
      <c r="AB160" s="19">
        <v>0.54263033000259686</v>
      </c>
      <c r="AC160" s="19">
        <v>0</v>
      </c>
      <c r="AD160" s="19">
        <v>56.605895809889489</v>
      </c>
      <c r="AE160" s="23">
        <v>1160.1508958098896</v>
      </c>
      <c r="AF160" s="27">
        <v>1.1152845500629007E-2</v>
      </c>
      <c r="AG160" s="19">
        <v>0.59621735446906032</v>
      </c>
      <c r="AH160" s="19">
        <v>3.5282785359788842E-2</v>
      </c>
      <c r="AI160" s="19">
        <v>0.63150013982884912</v>
      </c>
      <c r="AJ160" s="19">
        <v>0</v>
      </c>
      <c r="AK160" s="19">
        <v>52.784493987358928</v>
      </c>
      <c r="AL160" s="23">
        <v>1156.329493987359</v>
      </c>
      <c r="AM160" s="22">
        <v>1.4104604303736145E-2</v>
      </c>
      <c r="AN160" s="19">
        <v>0.75676661531854661</v>
      </c>
      <c r="AO160" s="19">
        <v>3.5282785359788842E-2</v>
      </c>
      <c r="AP160" s="19">
        <v>0.7920494006783354</v>
      </c>
      <c r="AQ160" s="19">
        <v>0</v>
      </c>
      <c r="AR160" s="19">
        <v>45.880875770835019</v>
      </c>
      <c r="AS160" s="23">
        <v>1149.4258757708351</v>
      </c>
    </row>
    <row r="161" spans="5:45">
      <c r="E161" s="35" t="str">
        <f t="shared" si="56"/>
        <v/>
      </c>
      <c r="F161" s="19">
        <v>316</v>
      </c>
      <c r="G161" s="19">
        <v>1105.174</v>
      </c>
      <c r="H161" s="19">
        <v>2</v>
      </c>
      <c r="I161" s="19">
        <v>2.2000000000000002</v>
      </c>
      <c r="J161" s="36">
        <v>4.0831050228310497</v>
      </c>
      <c r="K161" s="36">
        <v>1.0741261942924094</v>
      </c>
      <c r="L161" s="37">
        <v>2091219.139330355</v>
      </c>
      <c r="M161" s="37" t="s">
        <v>96</v>
      </c>
      <c r="N161" s="23">
        <v>56.839280526218772</v>
      </c>
      <c r="O161" s="57">
        <v>54.434265479887017</v>
      </c>
      <c r="P161" s="66">
        <v>13.75</v>
      </c>
      <c r="Q161" s="68">
        <v>1482695.7604373412</v>
      </c>
      <c r="R161" s="27">
        <v>8.4679866037394684E-3</v>
      </c>
      <c r="S161" s="19">
        <v>0.45268811177167712</v>
      </c>
      <c r="T161" s="19">
        <v>3.5282785359788842E-2</v>
      </c>
      <c r="U161" s="19">
        <v>0.48797089713146596</v>
      </c>
      <c r="V161" s="19">
        <v>0</v>
      </c>
      <c r="W161" s="19">
        <v>56.839280526218772</v>
      </c>
      <c r="X161" s="23">
        <v>1162.0132805262188</v>
      </c>
      <c r="Y161" s="22">
        <v>9.4904462912918219E-3</v>
      </c>
      <c r="Z161" s="19">
        <v>0.50734754464280807</v>
      </c>
      <c r="AA161" s="19">
        <v>3.5282785359788842E-2</v>
      </c>
      <c r="AB161" s="19">
        <v>0.54263033000259686</v>
      </c>
      <c r="AC161" s="19">
        <v>0</v>
      </c>
      <c r="AD161" s="19">
        <v>54.434265479887017</v>
      </c>
      <c r="AE161" s="23">
        <v>1159.608265479887</v>
      </c>
      <c r="AF161" s="27">
        <v>1.1152845500629007E-2</v>
      </c>
      <c r="AG161" s="19">
        <v>0.59621735446906032</v>
      </c>
      <c r="AH161" s="19">
        <v>3.5282785359788842E-2</v>
      </c>
      <c r="AI161" s="19">
        <v>0.63150013982884912</v>
      </c>
      <c r="AJ161" s="19">
        <v>0</v>
      </c>
      <c r="AK161" s="19">
        <v>50.523993847530164</v>
      </c>
      <c r="AL161" s="23">
        <v>1155.6979938475301</v>
      </c>
      <c r="AM161" s="22">
        <v>1.4104604303736145E-2</v>
      </c>
      <c r="AN161" s="19">
        <v>0.75676661531854661</v>
      </c>
      <c r="AO161" s="19">
        <v>3.5282785359788842E-2</v>
      </c>
      <c r="AP161" s="19">
        <v>0.7920494006783354</v>
      </c>
      <c r="AQ161" s="19">
        <v>0</v>
      </c>
      <c r="AR161" s="19">
        <v>43.459826370156861</v>
      </c>
      <c r="AS161" s="23">
        <v>1148.6338263701568</v>
      </c>
    </row>
    <row r="162" spans="5:45">
      <c r="E162" s="35" t="str">
        <f t="shared" si="56"/>
        <v/>
      </c>
      <c r="F162" s="19">
        <v>318</v>
      </c>
      <c r="G162" s="19">
        <v>1111.6569999999999</v>
      </c>
      <c r="H162" s="19">
        <v>2</v>
      </c>
      <c r="I162" s="19">
        <v>2.2000000000000002</v>
      </c>
      <c r="J162" s="36">
        <v>4.0831050228310497</v>
      </c>
      <c r="K162" s="36">
        <v>1.0741261942924094</v>
      </c>
      <c r="L162" s="37">
        <v>2091219.139330355</v>
      </c>
      <c r="M162" s="37" t="s">
        <v>96</v>
      </c>
      <c r="N162" s="23">
        <v>49.868309629087435</v>
      </c>
      <c r="O162" s="57">
        <v>47.408635149884503</v>
      </c>
      <c r="P162" s="66">
        <v>13.75</v>
      </c>
      <c r="Q162" s="68">
        <v>1482695.7604373412</v>
      </c>
      <c r="R162" s="27">
        <v>8.4679866037394684E-3</v>
      </c>
      <c r="S162" s="19">
        <v>0.45268811177167712</v>
      </c>
      <c r="T162" s="19">
        <v>3.5282785359788842E-2</v>
      </c>
      <c r="U162" s="19">
        <v>0.48797089713146596</v>
      </c>
      <c r="V162" s="19">
        <v>0</v>
      </c>
      <c r="W162" s="19">
        <v>49.868309629087435</v>
      </c>
      <c r="X162" s="23">
        <v>1161.5253096290874</v>
      </c>
      <c r="Y162" s="22">
        <v>9.4904462912918219E-3</v>
      </c>
      <c r="Z162" s="19">
        <v>0.50734754464280807</v>
      </c>
      <c r="AA162" s="19">
        <v>3.5282785359788842E-2</v>
      </c>
      <c r="AB162" s="19">
        <v>0.54263033000259686</v>
      </c>
      <c r="AC162" s="19">
        <v>0</v>
      </c>
      <c r="AD162" s="19">
        <v>47.408635149884503</v>
      </c>
      <c r="AE162" s="23">
        <v>1159.0656351498844</v>
      </c>
      <c r="AF162" s="27">
        <v>1.1152845500629007E-2</v>
      </c>
      <c r="AG162" s="19">
        <v>0.59621735446906032</v>
      </c>
      <c r="AH162" s="19">
        <v>3.5282785359788842E-2</v>
      </c>
      <c r="AI162" s="19">
        <v>0.63150013982884912</v>
      </c>
      <c r="AJ162" s="19">
        <v>0</v>
      </c>
      <c r="AK162" s="19">
        <v>43.409493707701358</v>
      </c>
      <c r="AL162" s="23">
        <v>1155.0664937077013</v>
      </c>
      <c r="AM162" s="22">
        <v>1.4104604303736145E-2</v>
      </c>
      <c r="AN162" s="19">
        <v>0.75676661531854661</v>
      </c>
      <c r="AO162" s="19">
        <v>3.5282785359788842E-2</v>
      </c>
      <c r="AP162" s="19">
        <v>0.7920494006783354</v>
      </c>
      <c r="AQ162" s="19">
        <v>0</v>
      </c>
      <c r="AR162" s="19">
        <v>36.184776969478662</v>
      </c>
      <c r="AS162" s="23">
        <v>1147.8417769694786</v>
      </c>
    </row>
    <row r="163" spans="5:45">
      <c r="E163" s="35" t="str">
        <f t="shared" si="56"/>
        <v/>
      </c>
      <c r="F163" s="19">
        <v>320</v>
      </c>
      <c r="G163" s="19">
        <v>1122.9349999999999</v>
      </c>
      <c r="H163" s="19">
        <v>2</v>
      </c>
      <c r="I163" s="19">
        <v>2.2000000000000002</v>
      </c>
      <c r="J163" s="36">
        <v>4.0831050228310497</v>
      </c>
      <c r="K163" s="36">
        <v>1.0741261942924094</v>
      </c>
      <c r="L163" s="37">
        <v>2091219.139330355</v>
      </c>
      <c r="M163" s="37" t="s">
        <v>96</v>
      </c>
      <c r="N163" s="23">
        <v>38.102338731956024</v>
      </c>
      <c r="O163" s="57">
        <v>35.588004819881917</v>
      </c>
      <c r="P163" s="66">
        <v>13.75</v>
      </c>
      <c r="Q163" s="68">
        <v>1482695.7604373412</v>
      </c>
      <c r="R163" s="27">
        <v>8.4679866037394684E-3</v>
      </c>
      <c r="S163" s="19">
        <v>0.45268811177167712</v>
      </c>
      <c r="T163" s="19">
        <v>3.5282785359788842E-2</v>
      </c>
      <c r="U163" s="19">
        <v>0.48797089713146596</v>
      </c>
      <c r="V163" s="19">
        <v>0</v>
      </c>
      <c r="W163" s="19">
        <v>38.102338731956024</v>
      </c>
      <c r="X163" s="23">
        <v>1161.037338731956</v>
      </c>
      <c r="Y163" s="22">
        <v>9.4904462912918219E-3</v>
      </c>
      <c r="Z163" s="19">
        <v>0.50734754464280807</v>
      </c>
      <c r="AA163" s="19">
        <v>3.5282785359788842E-2</v>
      </c>
      <c r="AB163" s="19">
        <v>0.54263033000259686</v>
      </c>
      <c r="AC163" s="19">
        <v>0</v>
      </c>
      <c r="AD163" s="19">
        <v>35.588004819881917</v>
      </c>
      <c r="AE163" s="23">
        <v>1158.5230048198819</v>
      </c>
      <c r="AF163" s="27">
        <v>1.1152845500629007E-2</v>
      </c>
      <c r="AG163" s="19">
        <v>0.59621735446906032</v>
      </c>
      <c r="AH163" s="19">
        <v>3.5282785359788842E-2</v>
      </c>
      <c r="AI163" s="19">
        <v>0.63150013982884912</v>
      </c>
      <c r="AJ163" s="19">
        <v>0</v>
      </c>
      <c r="AK163" s="19">
        <v>31.49999356787248</v>
      </c>
      <c r="AL163" s="23">
        <v>1154.4349935678724</v>
      </c>
      <c r="AM163" s="22">
        <v>1.4104604303736145E-2</v>
      </c>
      <c r="AN163" s="19">
        <v>0.75676661531854661</v>
      </c>
      <c r="AO163" s="19">
        <v>3.5282785359788842E-2</v>
      </c>
      <c r="AP163" s="19">
        <v>0.7920494006783354</v>
      </c>
      <c r="AQ163" s="19">
        <v>0</v>
      </c>
      <c r="AR163" s="19">
        <v>24.11472756880039</v>
      </c>
      <c r="AS163" s="23">
        <v>1147.0497275688003</v>
      </c>
    </row>
    <row r="164" spans="5:45">
      <c r="E164" s="35" t="str">
        <f t="shared" si="56"/>
        <v/>
      </c>
      <c r="F164" s="19">
        <v>322</v>
      </c>
      <c r="G164" s="19">
        <v>1128.1969999999999</v>
      </c>
      <c r="H164" s="19">
        <v>2</v>
      </c>
      <c r="I164" s="19">
        <v>2.2000000000000002</v>
      </c>
      <c r="J164" s="36">
        <v>4.0831050228310497</v>
      </c>
      <c r="K164" s="36">
        <v>1.0741261942924094</v>
      </c>
      <c r="L164" s="37">
        <v>2091219.139330355</v>
      </c>
      <c r="M164" s="37" t="s">
        <v>96</v>
      </c>
      <c r="N164" s="23">
        <v>32.35236783482469</v>
      </c>
      <c r="O164" s="57">
        <v>29.783374489879407</v>
      </c>
      <c r="P164" s="66">
        <v>13.75</v>
      </c>
      <c r="Q164" s="68">
        <v>1482695.7604373412</v>
      </c>
      <c r="R164" s="27">
        <v>8.4679866037394684E-3</v>
      </c>
      <c r="S164" s="19">
        <v>0.45268811177167712</v>
      </c>
      <c r="T164" s="19">
        <v>3.5282785359788842E-2</v>
      </c>
      <c r="U164" s="19">
        <v>0.48797089713146596</v>
      </c>
      <c r="V164" s="19">
        <v>0</v>
      </c>
      <c r="W164" s="19">
        <v>32.35236783482469</v>
      </c>
      <c r="X164" s="23">
        <v>1160.5493678348246</v>
      </c>
      <c r="Y164" s="22">
        <v>9.4904462912918219E-3</v>
      </c>
      <c r="Z164" s="19">
        <v>0.50734754464280807</v>
      </c>
      <c r="AA164" s="19">
        <v>3.5282785359788842E-2</v>
      </c>
      <c r="AB164" s="19">
        <v>0.54263033000259686</v>
      </c>
      <c r="AC164" s="19">
        <v>0</v>
      </c>
      <c r="AD164" s="19">
        <v>29.783374489879407</v>
      </c>
      <c r="AE164" s="23">
        <v>1157.9803744898793</v>
      </c>
      <c r="AF164" s="27">
        <v>1.1152845500629007E-2</v>
      </c>
      <c r="AG164" s="19">
        <v>0.59621735446906032</v>
      </c>
      <c r="AH164" s="19">
        <v>3.5282785359788842E-2</v>
      </c>
      <c r="AI164" s="19">
        <v>0.63150013982884912</v>
      </c>
      <c r="AJ164" s="19">
        <v>0</v>
      </c>
      <c r="AK164" s="19">
        <v>25.606493428043677</v>
      </c>
      <c r="AL164" s="23">
        <v>1153.8034934280436</v>
      </c>
      <c r="AM164" s="22">
        <v>1.4104604303736145E-2</v>
      </c>
      <c r="AN164" s="19">
        <v>0.75676661531854661</v>
      </c>
      <c r="AO164" s="19">
        <v>3.5282785359788842E-2</v>
      </c>
      <c r="AP164" s="19">
        <v>0.7920494006783354</v>
      </c>
      <c r="AQ164" s="19">
        <v>0</v>
      </c>
      <c r="AR164" s="19">
        <v>18.060678168122195</v>
      </c>
      <c r="AS164" s="23">
        <v>1146.2576781681221</v>
      </c>
    </row>
    <row r="165" spans="5:45">
      <c r="E165" s="35" t="str">
        <f t="shared" si="56"/>
        <v/>
      </c>
      <c r="F165" s="19">
        <v>324</v>
      </c>
      <c r="G165" s="19">
        <v>1132.5609999999999</v>
      </c>
      <c r="H165" s="19">
        <v>2</v>
      </c>
      <c r="I165" s="19">
        <v>2.2000000000000002</v>
      </c>
      <c r="J165" s="36">
        <v>4.0831050228310497</v>
      </c>
      <c r="K165" s="36">
        <v>1.0741261942924094</v>
      </c>
      <c r="L165" s="37">
        <v>2091219.139330355</v>
      </c>
      <c r="M165" s="37" t="s">
        <v>96</v>
      </c>
      <c r="N165" s="23">
        <v>27.500396937693267</v>
      </c>
      <c r="O165" s="57">
        <v>24.876744159876807</v>
      </c>
      <c r="P165" s="66">
        <v>13.75</v>
      </c>
      <c r="Q165" s="68">
        <v>1482695.7604373412</v>
      </c>
      <c r="R165" s="27">
        <v>8.4679866037394684E-3</v>
      </c>
      <c r="S165" s="19">
        <v>0.45268811177167712</v>
      </c>
      <c r="T165" s="19">
        <v>3.5282785359788842E-2</v>
      </c>
      <c r="U165" s="19">
        <v>0.48797089713146596</v>
      </c>
      <c r="V165" s="19">
        <v>0</v>
      </c>
      <c r="W165" s="19">
        <v>27.500396937693267</v>
      </c>
      <c r="X165" s="23">
        <v>1160.0613969376932</v>
      </c>
      <c r="Y165" s="22">
        <v>9.4904462912918219E-3</v>
      </c>
      <c r="Z165" s="19">
        <v>0.50734754464280807</v>
      </c>
      <c r="AA165" s="19">
        <v>3.5282785359788842E-2</v>
      </c>
      <c r="AB165" s="19">
        <v>0.54263033000259686</v>
      </c>
      <c r="AC165" s="19">
        <v>0</v>
      </c>
      <c r="AD165" s="19">
        <v>24.876744159876807</v>
      </c>
      <c r="AE165" s="23">
        <v>1157.4377441598767</v>
      </c>
      <c r="AF165" s="27">
        <v>1.1152845500629007E-2</v>
      </c>
      <c r="AG165" s="19">
        <v>0.59621735446906032</v>
      </c>
      <c r="AH165" s="19">
        <v>3.5282785359788842E-2</v>
      </c>
      <c r="AI165" s="19">
        <v>0.63150013982884912</v>
      </c>
      <c r="AJ165" s="19">
        <v>0</v>
      </c>
      <c r="AK165" s="19">
        <v>20.610993288214786</v>
      </c>
      <c r="AL165" s="23">
        <v>1153.1719932882147</v>
      </c>
      <c r="AM165" s="22">
        <v>1.4104604303736145E-2</v>
      </c>
      <c r="AN165" s="19">
        <v>0.75676661531854661</v>
      </c>
      <c r="AO165" s="19">
        <v>3.5282785359788842E-2</v>
      </c>
      <c r="AP165" s="19">
        <v>0.7920494006783354</v>
      </c>
      <c r="AQ165" s="19">
        <v>0</v>
      </c>
      <c r="AR165" s="19">
        <v>12.90462876744391</v>
      </c>
      <c r="AS165" s="23">
        <v>1145.4656287674438</v>
      </c>
    </row>
    <row r="166" spans="5:45">
      <c r="E166" s="35" t="str">
        <f t="shared" si="56"/>
        <v/>
      </c>
      <c r="F166" s="19">
        <v>326</v>
      </c>
      <c r="G166" s="19">
        <v>1131.854</v>
      </c>
      <c r="H166" s="19">
        <v>2</v>
      </c>
      <c r="I166" s="19">
        <v>2.2000000000000002</v>
      </c>
      <c r="J166" s="36">
        <v>4.0831050228310497</v>
      </c>
      <c r="K166" s="36">
        <v>1.0741261942924094</v>
      </c>
      <c r="L166" s="37">
        <v>2091219.139330355</v>
      </c>
      <c r="M166" s="37" t="s">
        <v>96</v>
      </c>
      <c r="N166" s="23">
        <v>27.719426040561757</v>
      </c>
      <c r="O166" s="57">
        <v>25.041113829874121</v>
      </c>
      <c r="P166" s="66">
        <v>13.75</v>
      </c>
      <c r="Q166" s="68">
        <v>1482695.7604373412</v>
      </c>
      <c r="R166" s="27">
        <v>8.4679866037394684E-3</v>
      </c>
      <c r="S166" s="19">
        <v>0.45268811177167712</v>
      </c>
      <c r="T166" s="19">
        <v>3.5282785359788842E-2</v>
      </c>
      <c r="U166" s="19">
        <v>0.48797089713146596</v>
      </c>
      <c r="V166" s="19">
        <v>0</v>
      </c>
      <c r="W166" s="19">
        <v>27.719426040561757</v>
      </c>
      <c r="X166" s="23">
        <v>1159.5734260405618</v>
      </c>
      <c r="Y166" s="22">
        <v>9.4904462912918219E-3</v>
      </c>
      <c r="Z166" s="19">
        <v>0.50734754464280807</v>
      </c>
      <c r="AA166" s="19">
        <v>3.5282785359788842E-2</v>
      </c>
      <c r="AB166" s="19">
        <v>0.54263033000259686</v>
      </c>
      <c r="AC166" s="19">
        <v>0</v>
      </c>
      <c r="AD166" s="19">
        <v>25.041113829874121</v>
      </c>
      <c r="AE166" s="23">
        <v>1156.8951138298742</v>
      </c>
      <c r="AF166" s="27">
        <v>1.1152845500629007E-2</v>
      </c>
      <c r="AG166" s="19">
        <v>0.59621735446906032</v>
      </c>
      <c r="AH166" s="19">
        <v>3.5282785359788842E-2</v>
      </c>
      <c r="AI166" s="19">
        <v>0.63150013982884912</v>
      </c>
      <c r="AJ166" s="19">
        <v>0</v>
      </c>
      <c r="AK166" s="19">
        <v>20.686493148385807</v>
      </c>
      <c r="AL166" s="23">
        <v>1152.5404931483858</v>
      </c>
      <c r="AM166" s="22">
        <v>1.4104604303736145E-2</v>
      </c>
      <c r="AN166" s="19">
        <v>0.75676661531854661</v>
      </c>
      <c r="AO166" s="19">
        <v>3.5282785359788842E-2</v>
      </c>
      <c r="AP166" s="19">
        <v>0.7920494006783354</v>
      </c>
      <c r="AQ166" s="19">
        <v>0</v>
      </c>
      <c r="AR166" s="19">
        <v>12.819579366765538</v>
      </c>
      <c r="AS166" s="23">
        <v>1144.6735793667656</v>
      </c>
    </row>
    <row r="167" spans="5:45">
      <c r="E167" s="35" t="str">
        <f t="shared" si="56"/>
        <v/>
      </c>
      <c r="F167" s="19">
        <v>328</v>
      </c>
      <c r="G167" s="19">
        <v>1133.338</v>
      </c>
      <c r="H167" s="19">
        <v>2</v>
      </c>
      <c r="I167" s="19">
        <v>2.2000000000000002</v>
      </c>
      <c r="J167" s="36">
        <v>4.0831050228310497</v>
      </c>
      <c r="K167" s="36">
        <v>1.0741261942924094</v>
      </c>
      <c r="L167" s="37">
        <v>2091219.139330355</v>
      </c>
      <c r="M167" s="37" t="s">
        <v>96</v>
      </c>
      <c r="N167" s="23">
        <v>25.747455143430443</v>
      </c>
      <c r="O167" s="57">
        <v>23.014483499871631</v>
      </c>
      <c r="P167" s="66">
        <v>13.75</v>
      </c>
      <c r="Q167" s="68">
        <v>1482695.7604373412</v>
      </c>
      <c r="R167" s="27">
        <v>8.4679866037394684E-3</v>
      </c>
      <c r="S167" s="19">
        <v>0.45268811177167712</v>
      </c>
      <c r="T167" s="19">
        <v>3.5282785359788842E-2</v>
      </c>
      <c r="U167" s="19">
        <v>0.48797089713146596</v>
      </c>
      <c r="V167" s="19">
        <v>0</v>
      </c>
      <c r="W167" s="19">
        <v>25.747455143430443</v>
      </c>
      <c r="X167" s="23">
        <v>1159.0854551434304</v>
      </c>
      <c r="Y167" s="22">
        <v>9.4904462912918219E-3</v>
      </c>
      <c r="Z167" s="19">
        <v>0.50734754464280807</v>
      </c>
      <c r="AA167" s="19">
        <v>3.5282785359788842E-2</v>
      </c>
      <c r="AB167" s="19">
        <v>0.54263033000259686</v>
      </c>
      <c r="AC167" s="19">
        <v>0</v>
      </c>
      <c r="AD167" s="19">
        <v>23.014483499871631</v>
      </c>
      <c r="AE167" s="23">
        <v>1156.3524834998716</v>
      </c>
      <c r="AF167" s="27">
        <v>1.1152845500629007E-2</v>
      </c>
      <c r="AG167" s="19">
        <v>0.59621735446906032</v>
      </c>
      <c r="AH167" s="19">
        <v>3.5282785359788842E-2</v>
      </c>
      <c r="AI167" s="19">
        <v>0.63150013982884912</v>
      </c>
      <c r="AJ167" s="19">
        <v>0</v>
      </c>
      <c r="AK167" s="19">
        <v>18.570993008557025</v>
      </c>
      <c r="AL167" s="23">
        <v>1151.908993008557</v>
      </c>
      <c r="AM167" s="22">
        <v>1.4104604303736145E-2</v>
      </c>
      <c r="AN167" s="19">
        <v>0.75676661531854661</v>
      </c>
      <c r="AO167" s="19">
        <v>3.5282785359788842E-2</v>
      </c>
      <c r="AP167" s="19">
        <v>0.7920494006783354</v>
      </c>
      <c r="AQ167" s="19">
        <v>0</v>
      </c>
      <c r="AR167" s="19">
        <v>10.543529966087362</v>
      </c>
      <c r="AS167" s="23">
        <v>1143.8815299660873</v>
      </c>
    </row>
    <row r="168" spans="5:45">
      <c r="E168" s="35" t="str">
        <f t="shared" si="56"/>
        <v>Reservoir</v>
      </c>
      <c r="F168" s="19">
        <v>330</v>
      </c>
      <c r="G168" s="19">
        <v>1136.405</v>
      </c>
      <c r="H168" s="19">
        <v>2</v>
      </c>
      <c r="I168" s="19">
        <v>2.2000000000000002</v>
      </c>
      <c r="J168" s="36">
        <v>4.0831050228310497</v>
      </c>
      <c r="K168" s="36">
        <v>1.0741261942924094</v>
      </c>
      <c r="L168" s="37">
        <v>2091219.139330355</v>
      </c>
      <c r="M168" s="37" t="s">
        <v>96</v>
      </c>
      <c r="N168" s="23">
        <v>22.192484246299045</v>
      </c>
      <c r="O168" s="57">
        <v>19.404853169869057</v>
      </c>
      <c r="P168" s="66">
        <v>13.75</v>
      </c>
      <c r="Q168" s="68">
        <v>1482695.7604373412</v>
      </c>
      <c r="R168" s="27">
        <v>8.4679866037394684E-3</v>
      </c>
      <c r="S168" s="19">
        <v>0.45268811177167712</v>
      </c>
      <c r="T168" s="19">
        <v>3.5282785359788842E-2</v>
      </c>
      <c r="U168" s="19">
        <v>0.48797089713146596</v>
      </c>
      <c r="V168" s="19">
        <v>0</v>
      </c>
      <c r="W168" s="19">
        <v>22.192484246299045</v>
      </c>
      <c r="X168" s="23">
        <v>1158.597484246299</v>
      </c>
      <c r="Y168" s="22">
        <v>9.4904462912918219E-3</v>
      </c>
      <c r="Z168" s="19">
        <v>0.50734754464280807</v>
      </c>
      <c r="AA168" s="19">
        <v>3.5282785359788842E-2</v>
      </c>
      <c r="AB168" s="19">
        <v>0.54263033000259686</v>
      </c>
      <c r="AC168" s="19">
        <v>0</v>
      </c>
      <c r="AD168" s="19">
        <v>19.404853169869057</v>
      </c>
      <c r="AE168" s="23">
        <v>1155.809853169869</v>
      </c>
      <c r="AF168" s="27">
        <v>1.1152845500629007E-2</v>
      </c>
      <c r="AG168" s="19">
        <v>0.59621735446906032</v>
      </c>
      <c r="AH168" s="19">
        <v>3.5282785359788842E-2</v>
      </c>
      <c r="AI168" s="19">
        <v>0.63150013982884912</v>
      </c>
      <c r="AJ168" s="19">
        <v>0</v>
      </c>
      <c r="AK168" s="19">
        <v>14.872492868728159</v>
      </c>
      <c r="AL168" s="23">
        <v>1151.2774928687281</v>
      </c>
      <c r="AM168" s="22">
        <v>1.4104604303736145E-2</v>
      </c>
      <c r="AN168" s="19">
        <v>0.75676661531854661</v>
      </c>
      <c r="AO168" s="19">
        <v>3.5282785359788842E-2</v>
      </c>
      <c r="AP168" s="19">
        <v>0.7920494006783354</v>
      </c>
      <c r="AQ168" s="19">
        <v>0</v>
      </c>
      <c r="AR168" s="19">
        <v>6.6844805654091033</v>
      </c>
      <c r="AS168" s="23">
        <v>1143.0894805654091</v>
      </c>
    </row>
    <row r="169" spans="5:45">
      <c r="E169" s="35" t="str">
        <f t="shared" si="56"/>
        <v/>
      </c>
      <c r="F169" s="19">
        <v>332</v>
      </c>
      <c r="G169" s="19">
        <v>1128.7090000000001</v>
      </c>
      <c r="H169" s="19">
        <v>2</v>
      </c>
      <c r="I169" s="19">
        <v>2.2000000000000002</v>
      </c>
      <c r="J169" s="36">
        <v>4.0831050228310497</v>
      </c>
      <c r="K169" s="36">
        <v>1.0741261942924094</v>
      </c>
      <c r="L169" s="37">
        <v>2091219.139330355</v>
      </c>
      <c r="M169" s="37" t="s">
        <v>96</v>
      </c>
      <c r="N169" s="23">
        <v>29.400513349167568</v>
      </c>
      <c r="O169" s="57">
        <v>26.558222839866403</v>
      </c>
      <c r="P169" s="66">
        <v>13.75</v>
      </c>
      <c r="Q169" s="68">
        <v>1482695.7604373412</v>
      </c>
      <c r="R169" s="27">
        <v>8.4679866037394684E-3</v>
      </c>
      <c r="S169" s="19">
        <v>0.45268811177167712</v>
      </c>
      <c r="T169" s="19">
        <v>3.5282785359788842E-2</v>
      </c>
      <c r="U169" s="19">
        <v>0.48797089713146596</v>
      </c>
      <c r="V169" s="19">
        <v>0</v>
      </c>
      <c r="W169" s="19">
        <v>29.400513349167568</v>
      </c>
      <c r="X169" s="23">
        <v>1158.1095133491676</v>
      </c>
      <c r="Y169" s="22">
        <v>9.4904462912918219E-3</v>
      </c>
      <c r="Z169" s="19">
        <v>0.50734754464280807</v>
      </c>
      <c r="AA169" s="19">
        <v>3.5282785359788842E-2</v>
      </c>
      <c r="AB169" s="19">
        <v>0.54263033000259686</v>
      </c>
      <c r="AC169" s="19">
        <v>0</v>
      </c>
      <c r="AD169" s="19">
        <v>26.558222839866403</v>
      </c>
      <c r="AE169" s="23">
        <v>1155.2672228398665</v>
      </c>
      <c r="AF169" s="27">
        <v>1.1152845500629007E-2</v>
      </c>
      <c r="AG169" s="19">
        <v>0.59621735446906032</v>
      </c>
      <c r="AH169" s="19">
        <v>3.5282785359788842E-2</v>
      </c>
      <c r="AI169" s="19">
        <v>0.63150013982884912</v>
      </c>
      <c r="AJ169" s="19">
        <v>0</v>
      </c>
      <c r="AK169" s="19">
        <v>21.936992728899213</v>
      </c>
      <c r="AL169" s="23">
        <v>1150.6459927288993</v>
      </c>
      <c r="AM169" s="22">
        <v>1.4104604303736145E-2</v>
      </c>
      <c r="AN169" s="19">
        <v>0.75676661531854661</v>
      </c>
      <c r="AO169" s="19">
        <v>3.5282785359788842E-2</v>
      </c>
      <c r="AP169" s="19">
        <v>0.7920494006783354</v>
      </c>
      <c r="AQ169" s="19">
        <v>0</v>
      </c>
      <c r="AR169" s="19">
        <v>13.588431164730764</v>
      </c>
      <c r="AS169" s="23">
        <v>1142.2974311647308</v>
      </c>
    </row>
    <row r="170" spans="5:45">
      <c r="E170" s="35" t="str">
        <f t="shared" si="56"/>
        <v/>
      </c>
      <c r="F170" s="19">
        <v>334</v>
      </c>
      <c r="G170" s="19">
        <v>1120.713</v>
      </c>
      <c r="H170" s="19">
        <v>2</v>
      </c>
      <c r="I170" s="19">
        <v>2.2000000000000002</v>
      </c>
      <c r="J170" s="36">
        <v>4.0831050228310497</v>
      </c>
      <c r="K170" s="36">
        <v>1.0741261942924094</v>
      </c>
      <c r="L170" s="37">
        <v>2091219.139330355</v>
      </c>
      <c r="M170" s="37" t="s">
        <v>96</v>
      </c>
      <c r="N170" s="23">
        <v>36.908542452036272</v>
      </c>
      <c r="O170" s="57">
        <v>34.011592509863931</v>
      </c>
      <c r="P170" s="66">
        <v>13.75</v>
      </c>
      <c r="Q170" s="68">
        <v>1482695.7604373412</v>
      </c>
      <c r="R170" s="27">
        <v>8.4679866037394684E-3</v>
      </c>
      <c r="S170" s="19">
        <v>0.45268811177167712</v>
      </c>
      <c r="T170" s="19">
        <v>3.5282785359788842E-2</v>
      </c>
      <c r="U170" s="19">
        <v>0.48797089713146596</v>
      </c>
      <c r="V170" s="19">
        <v>0</v>
      </c>
      <c r="W170" s="19">
        <v>36.908542452036272</v>
      </c>
      <c r="X170" s="23">
        <v>1157.6215424520362</v>
      </c>
      <c r="Y170" s="22">
        <v>9.4904462912918219E-3</v>
      </c>
      <c r="Z170" s="19">
        <v>0.50734754464280807</v>
      </c>
      <c r="AA170" s="19">
        <v>3.5282785359788842E-2</v>
      </c>
      <c r="AB170" s="19">
        <v>0.54263033000259686</v>
      </c>
      <c r="AC170" s="19">
        <v>0</v>
      </c>
      <c r="AD170" s="19">
        <v>34.011592509863931</v>
      </c>
      <c r="AE170" s="23">
        <v>1154.7245925098639</v>
      </c>
      <c r="AF170" s="27">
        <v>1.1152845500629007E-2</v>
      </c>
      <c r="AG170" s="19">
        <v>0.59621735446906032</v>
      </c>
      <c r="AH170" s="19">
        <v>3.5282785359788842E-2</v>
      </c>
      <c r="AI170" s="19">
        <v>0.63150013982884912</v>
      </c>
      <c r="AJ170" s="19">
        <v>0</v>
      </c>
      <c r="AK170" s="19">
        <v>29.301492589070449</v>
      </c>
      <c r="AL170" s="23">
        <v>1150.0144925890704</v>
      </c>
      <c r="AM170" s="22">
        <v>1.4104604303736145E-2</v>
      </c>
      <c r="AN170" s="19">
        <v>0.75676661531854661</v>
      </c>
      <c r="AO170" s="19">
        <v>3.5282785359788842E-2</v>
      </c>
      <c r="AP170" s="19">
        <v>0.7920494006783354</v>
      </c>
      <c r="AQ170" s="19">
        <v>0</v>
      </c>
      <c r="AR170" s="19">
        <v>20.792381764052607</v>
      </c>
      <c r="AS170" s="23">
        <v>1141.5053817640526</v>
      </c>
    </row>
    <row r="171" spans="5:45">
      <c r="E171" s="35" t="str">
        <f t="shared" si="56"/>
        <v/>
      </c>
      <c r="F171" s="19">
        <v>336</v>
      </c>
      <c r="G171" s="19">
        <v>1115.2260000000001</v>
      </c>
      <c r="H171" s="19">
        <v>2</v>
      </c>
      <c r="I171" s="19">
        <v>1.8</v>
      </c>
      <c r="J171" s="36">
        <v>4.0831050228310497</v>
      </c>
      <c r="K171" s="36">
        <v>1.6045588828318709</v>
      </c>
      <c r="L171" s="37">
        <v>2555934.503625989</v>
      </c>
      <c r="M171" s="37" t="s">
        <v>96</v>
      </c>
      <c r="N171" s="23">
        <v>41.041560498492345</v>
      </c>
      <c r="O171" s="57">
        <v>37.987895046470612</v>
      </c>
      <c r="P171" s="66">
        <v>11.25</v>
      </c>
      <c r="Q171" s="68">
        <v>992548.40161508287</v>
      </c>
      <c r="R171" s="27">
        <v>8.7463077071963571E-3</v>
      </c>
      <c r="S171" s="19">
        <v>1.2752477269849725</v>
      </c>
      <c r="T171" s="19">
        <v>7.8734226558858159E-2</v>
      </c>
      <c r="U171" s="19">
        <v>1.3539819535438307</v>
      </c>
      <c r="V171" s="19">
        <v>0</v>
      </c>
      <c r="W171" s="19">
        <v>41.041560498492345</v>
      </c>
      <c r="X171" s="23">
        <v>1156.2675604984925</v>
      </c>
      <c r="Y171" s="22">
        <v>9.8211436332891755E-3</v>
      </c>
      <c r="Z171" s="19">
        <v>1.431963236834217</v>
      </c>
      <c r="AA171" s="19">
        <v>7.8734226558858159E-2</v>
      </c>
      <c r="AB171" s="19">
        <v>1.5106974633930752</v>
      </c>
      <c r="AC171" s="19">
        <v>0</v>
      </c>
      <c r="AD171" s="19">
        <v>37.987895046470612</v>
      </c>
      <c r="AE171" s="23">
        <v>1153.2138950464707</v>
      </c>
      <c r="AF171" s="27">
        <v>1.1575055557914658E-2</v>
      </c>
      <c r="AG171" s="19">
        <v>1.6876908272744866</v>
      </c>
      <c r="AH171" s="19">
        <v>7.8734226558858159E-2</v>
      </c>
      <c r="AI171" s="19">
        <v>1.7664250538333448</v>
      </c>
      <c r="AJ171" s="19">
        <v>0</v>
      </c>
      <c r="AK171" s="19">
        <v>33.022067535237056</v>
      </c>
      <c r="AL171" s="23">
        <v>1148.2480675352372</v>
      </c>
      <c r="AM171" s="22">
        <v>1.4709705891825043E-2</v>
      </c>
      <c r="AN171" s="19">
        <v>2.1543104841910781</v>
      </c>
      <c r="AO171" s="19">
        <v>7.8734226558858159E-2</v>
      </c>
      <c r="AP171" s="19">
        <v>2.2330447107499363</v>
      </c>
      <c r="AQ171" s="19">
        <v>0</v>
      </c>
      <c r="AR171" s="19">
        <v>24.046337053302523</v>
      </c>
      <c r="AS171" s="23">
        <v>1139.2723370533026</v>
      </c>
    </row>
    <row r="172" spans="5:45">
      <c r="E172" s="35" t="str">
        <f t="shared" si="56"/>
        <v/>
      </c>
      <c r="F172" s="19">
        <v>338</v>
      </c>
      <c r="G172" s="19">
        <v>1108.7090000000001</v>
      </c>
      <c r="H172" s="19">
        <v>2</v>
      </c>
      <c r="I172" s="19">
        <v>1.8</v>
      </c>
      <c r="J172" s="36">
        <v>4.0831050228310497</v>
      </c>
      <c r="K172" s="36">
        <v>1.6045588828318709</v>
      </c>
      <c r="L172" s="37">
        <v>2555934.503625989</v>
      </c>
      <c r="M172" s="37" t="s">
        <v>96</v>
      </c>
      <c r="N172" s="23">
        <v>46.204578544948617</v>
      </c>
      <c r="O172" s="57">
        <v>42.994197583077494</v>
      </c>
      <c r="P172" s="66">
        <v>11.25</v>
      </c>
      <c r="Q172" s="68">
        <v>992548.40161508287</v>
      </c>
      <c r="R172" s="27">
        <v>8.7463077071963571E-3</v>
      </c>
      <c r="S172" s="19">
        <v>1.2752477269849725</v>
      </c>
      <c r="T172" s="19">
        <v>7.8734226558858159E-2</v>
      </c>
      <c r="U172" s="19">
        <v>1.3539819535438307</v>
      </c>
      <c r="V172" s="19">
        <v>0</v>
      </c>
      <c r="W172" s="19">
        <v>46.204578544948617</v>
      </c>
      <c r="X172" s="23">
        <v>1154.9135785449487</v>
      </c>
      <c r="Y172" s="22">
        <v>9.8211436332891755E-3</v>
      </c>
      <c r="Z172" s="19">
        <v>1.431963236834217</v>
      </c>
      <c r="AA172" s="19">
        <v>7.8734226558858159E-2</v>
      </c>
      <c r="AB172" s="19">
        <v>1.5106974633930752</v>
      </c>
      <c r="AC172" s="19">
        <v>0</v>
      </c>
      <c r="AD172" s="19">
        <v>42.994197583077494</v>
      </c>
      <c r="AE172" s="23">
        <v>1151.7031975830776</v>
      </c>
      <c r="AF172" s="27">
        <v>1.1575055557914658E-2</v>
      </c>
      <c r="AG172" s="19">
        <v>1.6876908272744866</v>
      </c>
      <c r="AH172" s="19">
        <v>7.8734226558858159E-2</v>
      </c>
      <c r="AI172" s="19">
        <v>1.7664250538333448</v>
      </c>
      <c r="AJ172" s="19">
        <v>0</v>
      </c>
      <c r="AK172" s="19">
        <v>37.772642481403864</v>
      </c>
      <c r="AL172" s="23">
        <v>1146.4816424814039</v>
      </c>
      <c r="AM172" s="22">
        <v>1.4709705891825043E-2</v>
      </c>
      <c r="AN172" s="19">
        <v>2.1543104841910781</v>
      </c>
      <c r="AO172" s="19">
        <v>7.8734226558858159E-2</v>
      </c>
      <c r="AP172" s="19">
        <v>2.2330447107499363</v>
      </c>
      <c r="AQ172" s="19">
        <v>0</v>
      </c>
      <c r="AR172" s="19">
        <v>28.330292342552639</v>
      </c>
      <c r="AS172" s="23">
        <v>1137.0392923425527</v>
      </c>
    </row>
    <row r="173" spans="5:45">
      <c r="E173" s="35" t="str">
        <f t="shared" si="56"/>
        <v/>
      </c>
      <c r="F173" s="19">
        <v>340</v>
      </c>
      <c r="G173" s="19">
        <v>1102.499</v>
      </c>
      <c r="H173" s="19">
        <v>2</v>
      </c>
      <c r="I173" s="19">
        <v>1.8</v>
      </c>
      <c r="J173" s="36">
        <v>4.0831050228310497</v>
      </c>
      <c r="K173" s="36">
        <v>1.6045588828318709</v>
      </c>
      <c r="L173" s="37">
        <v>2555934.503625989</v>
      </c>
      <c r="M173" s="37" t="s">
        <v>96</v>
      </c>
      <c r="N173" s="23">
        <v>51.060596591404874</v>
      </c>
      <c r="O173" s="57">
        <v>47.693500119684359</v>
      </c>
      <c r="P173" s="66">
        <v>11.25</v>
      </c>
      <c r="Q173" s="68">
        <v>992548.40161508287</v>
      </c>
      <c r="R173" s="27">
        <v>8.7463077071963571E-3</v>
      </c>
      <c r="S173" s="19">
        <v>1.2752477269849725</v>
      </c>
      <c r="T173" s="19">
        <v>7.8734226558858159E-2</v>
      </c>
      <c r="U173" s="19">
        <v>1.3539819535438307</v>
      </c>
      <c r="V173" s="19">
        <v>0</v>
      </c>
      <c r="W173" s="19">
        <v>51.060596591404874</v>
      </c>
      <c r="X173" s="23">
        <v>1153.5595965914049</v>
      </c>
      <c r="Y173" s="22">
        <v>9.8211436332891755E-3</v>
      </c>
      <c r="Z173" s="19">
        <v>1.431963236834217</v>
      </c>
      <c r="AA173" s="19">
        <v>7.8734226558858159E-2</v>
      </c>
      <c r="AB173" s="19">
        <v>1.5106974633930752</v>
      </c>
      <c r="AC173" s="19">
        <v>0</v>
      </c>
      <c r="AD173" s="19">
        <v>47.693500119684359</v>
      </c>
      <c r="AE173" s="23">
        <v>1150.1925001196844</v>
      </c>
      <c r="AF173" s="27">
        <v>1.1575055557914658E-2</v>
      </c>
      <c r="AG173" s="19">
        <v>1.6876908272744866</v>
      </c>
      <c r="AH173" s="19">
        <v>7.8734226558858159E-2</v>
      </c>
      <c r="AI173" s="19">
        <v>1.7664250538333448</v>
      </c>
      <c r="AJ173" s="19">
        <v>0</v>
      </c>
      <c r="AK173" s="19">
        <v>42.216217427570655</v>
      </c>
      <c r="AL173" s="23">
        <v>1144.7152174275707</v>
      </c>
      <c r="AM173" s="22">
        <v>1.4709705891825043E-2</v>
      </c>
      <c r="AN173" s="19">
        <v>2.1543104841910781</v>
      </c>
      <c r="AO173" s="19">
        <v>7.8734226558858159E-2</v>
      </c>
      <c r="AP173" s="19">
        <v>2.2330447107499363</v>
      </c>
      <c r="AQ173" s="19">
        <v>0</v>
      </c>
      <c r="AR173" s="19">
        <v>32.307247631802738</v>
      </c>
      <c r="AS173" s="23">
        <v>1134.8062476318028</v>
      </c>
    </row>
    <row r="174" spans="5:45">
      <c r="E174" s="35" t="str">
        <f t="shared" si="56"/>
        <v/>
      </c>
      <c r="F174" s="19">
        <v>342</v>
      </c>
      <c r="G174" s="19">
        <v>1096.3489999999999</v>
      </c>
      <c r="H174" s="19">
        <v>2</v>
      </c>
      <c r="I174" s="19">
        <v>1.8</v>
      </c>
      <c r="J174" s="36">
        <v>4.0831050228310497</v>
      </c>
      <c r="K174" s="36">
        <v>1.6045588828318709</v>
      </c>
      <c r="L174" s="37">
        <v>2555934.503625989</v>
      </c>
      <c r="M174" s="37" t="s">
        <v>96</v>
      </c>
      <c r="N174" s="23">
        <v>55.856614637861185</v>
      </c>
      <c r="O174" s="57">
        <v>52.332802656291278</v>
      </c>
      <c r="P174" s="66">
        <v>11.25</v>
      </c>
      <c r="Q174" s="68">
        <v>992548.40161508287</v>
      </c>
      <c r="R174" s="27">
        <v>8.7463077071963571E-3</v>
      </c>
      <c r="S174" s="19">
        <v>1.2752477269849725</v>
      </c>
      <c r="T174" s="19">
        <v>7.8734226558858159E-2</v>
      </c>
      <c r="U174" s="19">
        <v>1.3539819535438307</v>
      </c>
      <c r="V174" s="19">
        <v>0</v>
      </c>
      <c r="W174" s="19">
        <v>55.856614637861185</v>
      </c>
      <c r="X174" s="23">
        <v>1152.2056146378611</v>
      </c>
      <c r="Y174" s="22">
        <v>9.8211436332891755E-3</v>
      </c>
      <c r="Z174" s="19">
        <v>1.431963236834217</v>
      </c>
      <c r="AA174" s="19">
        <v>7.8734226558858159E-2</v>
      </c>
      <c r="AB174" s="19">
        <v>1.5106974633930752</v>
      </c>
      <c r="AC174" s="19">
        <v>0</v>
      </c>
      <c r="AD174" s="19">
        <v>52.332802656291278</v>
      </c>
      <c r="AE174" s="23">
        <v>1148.6818026562912</v>
      </c>
      <c r="AF174" s="27">
        <v>1.1575055557914658E-2</v>
      </c>
      <c r="AG174" s="19">
        <v>1.6876908272744866</v>
      </c>
      <c r="AH174" s="19">
        <v>7.8734226558858159E-2</v>
      </c>
      <c r="AI174" s="19">
        <v>1.7664250538333448</v>
      </c>
      <c r="AJ174" s="19">
        <v>0</v>
      </c>
      <c r="AK174" s="19">
        <v>46.5997923737375</v>
      </c>
      <c r="AL174" s="23">
        <v>1142.9487923737374</v>
      </c>
      <c r="AM174" s="22">
        <v>1.4709705891825043E-2</v>
      </c>
      <c r="AN174" s="19">
        <v>2.1543104841910781</v>
      </c>
      <c r="AO174" s="19">
        <v>7.8734226558858159E-2</v>
      </c>
      <c r="AP174" s="19">
        <v>2.2330447107499363</v>
      </c>
      <c r="AQ174" s="19">
        <v>0</v>
      </c>
      <c r="AR174" s="19">
        <v>36.224202921052893</v>
      </c>
      <c r="AS174" s="23">
        <v>1132.5732029210528</v>
      </c>
    </row>
    <row r="175" spans="5:45">
      <c r="E175" s="35" t="str">
        <f t="shared" si="56"/>
        <v/>
      </c>
      <c r="F175" s="19">
        <v>344</v>
      </c>
      <c r="G175" s="19">
        <v>1090.3900000000001</v>
      </c>
      <c r="H175" s="19">
        <v>2</v>
      </c>
      <c r="I175" s="19">
        <v>1.8</v>
      </c>
      <c r="J175" s="36">
        <v>4.0831050228310497</v>
      </c>
      <c r="K175" s="36">
        <v>1.6045588828318709</v>
      </c>
      <c r="L175" s="37">
        <v>2555934.503625989</v>
      </c>
      <c r="M175" s="37" t="s">
        <v>96</v>
      </c>
      <c r="N175" s="23">
        <v>60.461632684317237</v>
      </c>
      <c r="O175" s="57">
        <v>56.78110519289794</v>
      </c>
      <c r="P175" s="66">
        <v>11.25</v>
      </c>
      <c r="Q175" s="68">
        <v>992548.40161508287</v>
      </c>
      <c r="R175" s="27">
        <v>8.7463077071963571E-3</v>
      </c>
      <c r="S175" s="19">
        <v>1.2752477269849725</v>
      </c>
      <c r="T175" s="19">
        <v>7.8734226558858159E-2</v>
      </c>
      <c r="U175" s="19">
        <v>1.3539819535438307</v>
      </c>
      <c r="V175" s="19">
        <v>0</v>
      </c>
      <c r="W175" s="19">
        <v>60.461632684317237</v>
      </c>
      <c r="X175" s="23">
        <v>1150.8516326843173</v>
      </c>
      <c r="Y175" s="22">
        <v>9.8211436332891755E-3</v>
      </c>
      <c r="Z175" s="19">
        <v>1.431963236834217</v>
      </c>
      <c r="AA175" s="19">
        <v>7.8734226558858159E-2</v>
      </c>
      <c r="AB175" s="19">
        <v>1.5106974633930752</v>
      </c>
      <c r="AC175" s="19">
        <v>0</v>
      </c>
      <c r="AD175" s="19">
        <v>56.78110519289794</v>
      </c>
      <c r="AE175" s="23">
        <v>1147.171105192898</v>
      </c>
      <c r="AF175" s="27">
        <v>1.1575055557914658E-2</v>
      </c>
      <c r="AG175" s="19">
        <v>1.6876908272744866</v>
      </c>
      <c r="AH175" s="19">
        <v>7.8734226558858159E-2</v>
      </c>
      <c r="AI175" s="19">
        <v>1.7664250538333448</v>
      </c>
      <c r="AJ175" s="19">
        <v>0</v>
      </c>
      <c r="AK175" s="19">
        <v>50.792367319904088</v>
      </c>
      <c r="AL175" s="23">
        <v>1141.1823673199042</v>
      </c>
      <c r="AM175" s="22">
        <v>1.4709705891825043E-2</v>
      </c>
      <c r="AN175" s="19">
        <v>2.1543104841910781</v>
      </c>
      <c r="AO175" s="19">
        <v>7.8734226558858159E-2</v>
      </c>
      <c r="AP175" s="19">
        <v>2.2330447107499363</v>
      </c>
      <c r="AQ175" s="19">
        <v>0</v>
      </c>
      <c r="AR175" s="19">
        <v>39.950158210302789</v>
      </c>
      <c r="AS175" s="23">
        <v>1130.3401582103029</v>
      </c>
    </row>
    <row r="176" spans="5:45">
      <c r="E176" s="35" t="str">
        <f t="shared" si="56"/>
        <v/>
      </c>
      <c r="F176" s="19">
        <v>346</v>
      </c>
      <c r="G176" s="19">
        <v>1087.7650000000001</v>
      </c>
      <c r="H176" s="19">
        <v>2</v>
      </c>
      <c r="I176" s="19">
        <v>1.8</v>
      </c>
      <c r="J176" s="36">
        <v>4.0831050228310497</v>
      </c>
      <c r="K176" s="36">
        <v>1.6045588828318709</v>
      </c>
      <c r="L176" s="37">
        <v>2555934.503625989</v>
      </c>
      <c r="M176" s="37" t="s">
        <v>96</v>
      </c>
      <c r="N176" s="23">
        <v>61.732650730773457</v>
      </c>
      <c r="O176" s="57">
        <v>57.895407729504768</v>
      </c>
      <c r="P176" s="66">
        <v>11.25</v>
      </c>
      <c r="Q176" s="68">
        <v>992548.40161508287</v>
      </c>
      <c r="R176" s="27">
        <v>8.7463077071963571E-3</v>
      </c>
      <c r="S176" s="19">
        <v>1.2752477269849725</v>
      </c>
      <c r="T176" s="19">
        <v>7.8734226558858159E-2</v>
      </c>
      <c r="U176" s="19">
        <v>1.3539819535438307</v>
      </c>
      <c r="V176" s="19">
        <v>0</v>
      </c>
      <c r="W176" s="19">
        <v>61.732650730773457</v>
      </c>
      <c r="X176" s="23">
        <v>1149.4976507307736</v>
      </c>
      <c r="Y176" s="22">
        <v>9.8211436332891755E-3</v>
      </c>
      <c r="Z176" s="19">
        <v>1.431963236834217</v>
      </c>
      <c r="AA176" s="19">
        <v>7.8734226558858159E-2</v>
      </c>
      <c r="AB176" s="19">
        <v>1.5106974633930752</v>
      </c>
      <c r="AC176" s="19">
        <v>0</v>
      </c>
      <c r="AD176" s="19">
        <v>57.895407729504768</v>
      </c>
      <c r="AE176" s="23">
        <v>1145.6604077295049</v>
      </c>
      <c r="AF176" s="27">
        <v>1.1575055557914658E-2</v>
      </c>
      <c r="AG176" s="19">
        <v>1.6876908272744866</v>
      </c>
      <c r="AH176" s="19">
        <v>7.8734226558858159E-2</v>
      </c>
      <c r="AI176" s="19">
        <v>1.7664250538333448</v>
      </c>
      <c r="AJ176" s="19">
        <v>0</v>
      </c>
      <c r="AK176" s="19">
        <v>51.650942266070842</v>
      </c>
      <c r="AL176" s="23">
        <v>1139.4159422660709</v>
      </c>
      <c r="AM176" s="22">
        <v>1.4709705891825043E-2</v>
      </c>
      <c r="AN176" s="19">
        <v>2.1543104841910781</v>
      </c>
      <c r="AO176" s="19">
        <v>7.8734226558858159E-2</v>
      </c>
      <c r="AP176" s="19">
        <v>2.2330447107499363</v>
      </c>
      <c r="AQ176" s="19">
        <v>0</v>
      </c>
      <c r="AR176" s="19">
        <v>40.342113499552852</v>
      </c>
      <c r="AS176" s="23">
        <v>1128.107113499553</v>
      </c>
    </row>
    <row r="177" spans="5:45">
      <c r="E177" s="35" t="str">
        <f t="shared" si="56"/>
        <v/>
      </c>
      <c r="F177" s="19">
        <v>348</v>
      </c>
      <c r="G177" s="19">
        <v>1084.6610000000001</v>
      </c>
      <c r="H177" s="19">
        <v>2</v>
      </c>
      <c r="I177" s="19">
        <v>1.8</v>
      </c>
      <c r="J177" s="36">
        <v>4.0831050228310497</v>
      </c>
      <c r="K177" s="36">
        <v>1.6045588828318709</v>
      </c>
      <c r="L177" s="37">
        <v>2555934.503625989</v>
      </c>
      <c r="M177" s="37" t="s">
        <v>96</v>
      </c>
      <c r="N177" s="23">
        <v>63.482668777229719</v>
      </c>
      <c r="O177" s="57">
        <v>59.488710266111639</v>
      </c>
      <c r="P177" s="66">
        <v>11.25</v>
      </c>
      <c r="Q177" s="68">
        <v>992548.40161508287</v>
      </c>
      <c r="R177" s="27">
        <v>8.7463077071963571E-3</v>
      </c>
      <c r="S177" s="19">
        <v>1.2752477269849725</v>
      </c>
      <c r="T177" s="19">
        <v>7.8734226558858159E-2</v>
      </c>
      <c r="U177" s="19">
        <v>1.3539819535438307</v>
      </c>
      <c r="V177" s="19">
        <v>0</v>
      </c>
      <c r="W177" s="19">
        <v>63.482668777229719</v>
      </c>
      <c r="X177" s="23">
        <v>1148.1436687772298</v>
      </c>
      <c r="Y177" s="22">
        <v>9.8211436332891755E-3</v>
      </c>
      <c r="Z177" s="19">
        <v>1.431963236834217</v>
      </c>
      <c r="AA177" s="19">
        <v>7.8734226558858159E-2</v>
      </c>
      <c r="AB177" s="19">
        <v>1.5106974633930752</v>
      </c>
      <c r="AC177" s="19">
        <v>0</v>
      </c>
      <c r="AD177" s="19">
        <v>59.488710266111639</v>
      </c>
      <c r="AE177" s="23">
        <v>1144.1497102661117</v>
      </c>
      <c r="AF177" s="27">
        <v>1.1575055557914658E-2</v>
      </c>
      <c r="AG177" s="19">
        <v>1.6876908272744866</v>
      </c>
      <c r="AH177" s="19">
        <v>7.8734226558858159E-2</v>
      </c>
      <c r="AI177" s="19">
        <v>1.7664250538333448</v>
      </c>
      <c r="AJ177" s="19">
        <v>0</v>
      </c>
      <c r="AK177" s="19">
        <v>52.988517212237639</v>
      </c>
      <c r="AL177" s="23">
        <v>1137.6495172122377</v>
      </c>
      <c r="AM177" s="22">
        <v>1.4709705891825043E-2</v>
      </c>
      <c r="AN177" s="19">
        <v>2.1543104841910781</v>
      </c>
      <c r="AO177" s="19">
        <v>7.8734226558858159E-2</v>
      </c>
      <c r="AP177" s="19">
        <v>2.2330447107499363</v>
      </c>
      <c r="AQ177" s="19">
        <v>0</v>
      </c>
      <c r="AR177" s="19">
        <v>41.213068788802957</v>
      </c>
      <c r="AS177" s="23">
        <v>1125.874068788803</v>
      </c>
    </row>
    <row r="178" spans="5:45">
      <c r="E178" s="35" t="str">
        <f t="shared" si="56"/>
        <v/>
      </c>
      <c r="F178" s="19">
        <v>350</v>
      </c>
      <c r="G178" s="19">
        <v>1081.662</v>
      </c>
      <c r="H178" s="19">
        <v>2</v>
      </c>
      <c r="I178" s="19">
        <v>1.8</v>
      </c>
      <c r="J178" s="36">
        <v>4.0831050228310497</v>
      </c>
      <c r="K178" s="36">
        <v>1.6045588828318709</v>
      </c>
      <c r="L178" s="37">
        <v>2555934.503625989</v>
      </c>
      <c r="M178" s="37" t="s">
        <v>96</v>
      </c>
      <c r="N178" s="23">
        <v>65.127686823685963</v>
      </c>
      <c r="O178" s="57">
        <v>60.977012802718491</v>
      </c>
      <c r="P178" s="66">
        <v>11.25</v>
      </c>
      <c r="Q178" s="68">
        <v>992548.40161508287</v>
      </c>
      <c r="R178" s="27">
        <v>8.7463077071963571E-3</v>
      </c>
      <c r="S178" s="19">
        <v>1.2752477269849725</v>
      </c>
      <c r="T178" s="19">
        <v>7.8734226558858159E-2</v>
      </c>
      <c r="U178" s="19">
        <v>1.3539819535438307</v>
      </c>
      <c r="V178" s="19">
        <v>0</v>
      </c>
      <c r="W178" s="19">
        <v>65.127686823685963</v>
      </c>
      <c r="X178" s="23">
        <v>1146.789686823686</v>
      </c>
      <c r="Y178" s="22">
        <v>9.8211436332891755E-3</v>
      </c>
      <c r="Z178" s="19">
        <v>1.431963236834217</v>
      </c>
      <c r="AA178" s="19">
        <v>7.8734226558858159E-2</v>
      </c>
      <c r="AB178" s="19">
        <v>1.5106974633930752</v>
      </c>
      <c r="AC178" s="19">
        <v>0</v>
      </c>
      <c r="AD178" s="19">
        <v>60.977012802718491</v>
      </c>
      <c r="AE178" s="23">
        <v>1142.6390128027185</v>
      </c>
      <c r="AF178" s="27">
        <v>1.1575055557914658E-2</v>
      </c>
      <c r="AG178" s="19">
        <v>1.6876908272744866</v>
      </c>
      <c r="AH178" s="19">
        <v>7.8734226558858159E-2</v>
      </c>
      <c r="AI178" s="19">
        <v>1.7664250538333448</v>
      </c>
      <c r="AJ178" s="19">
        <v>0</v>
      </c>
      <c r="AK178" s="19">
        <v>54.221092158404417</v>
      </c>
      <c r="AL178" s="23">
        <v>1135.8830921584045</v>
      </c>
      <c r="AM178" s="22">
        <v>1.4709705891825043E-2</v>
      </c>
      <c r="AN178" s="19">
        <v>2.1543104841910781</v>
      </c>
      <c r="AO178" s="19">
        <v>7.8734226558858159E-2</v>
      </c>
      <c r="AP178" s="19">
        <v>2.2330447107499363</v>
      </c>
      <c r="AQ178" s="19">
        <v>0</v>
      </c>
      <c r="AR178" s="19">
        <v>41.979024078053044</v>
      </c>
      <c r="AS178" s="23">
        <v>1123.6410240780531</v>
      </c>
    </row>
    <row r="179" spans="5:45">
      <c r="E179" s="35" t="str">
        <f t="shared" si="56"/>
        <v/>
      </c>
      <c r="F179" s="19">
        <v>352</v>
      </c>
      <c r="G179" s="19">
        <v>1076.8720000000001</v>
      </c>
      <c r="H179" s="19">
        <v>2</v>
      </c>
      <c r="I179" s="19">
        <v>1.8</v>
      </c>
      <c r="J179" s="36">
        <v>4.0831050228310497</v>
      </c>
      <c r="K179" s="36">
        <v>1.6045588828318709</v>
      </c>
      <c r="L179" s="37">
        <v>2555934.503625989</v>
      </c>
      <c r="M179" s="37" t="s">
        <v>96</v>
      </c>
      <c r="N179" s="23">
        <v>68.563704870142146</v>
      </c>
      <c r="O179" s="57">
        <v>64.256315339325283</v>
      </c>
      <c r="P179" s="66">
        <v>11.25</v>
      </c>
      <c r="Q179" s="68">
        <v>992548.40161508287</v>
      </c>
      <c r="R179" s="27">
        <v>8.7463077071963571E-3</v>
      </c>
      <c r="S179" s="19">
        <v>1.2752477269849725</v>
      </c>
      <c r="T179" s="19">
        <v>7.8734226558858159E-2</v>
      </c>
      <c r="U179" s="19">
        <v>1.3539819535438307</v>
      </c>
      <c r="V179" s="19">
        <v>0</v>
      </c>
      <c r="W179" s="19">
        <v>68.563704870142146</v>
      </c>
      <c r="X179" s="23">
        <v>1145.4357048701422</v>
      </c>
      <c r="Y179" s="22">
        <v>9.8211436332891755E-3</v>
      </c>
      <c r="Z179" s="19">
        <v>1.431963236834217</v>
      </c>
      <c r="AA179" s="19">
        <v>7.8734226558858159E-2</v>
      </c>
      <c r="AB179" s="19">
        <v>1.5106974633930752</v>
      </c>
      <c r="AC179" s="19">
        <v>0</v>
      </c>
      <c r="AD179" s="19">
        <v>64.256315339325283</v>
      </c>
      <c r="AE179" s="23">
        <v>1141.1283153393254</v>
      </c>
      <c r="AF179" s="27">
        <v>1.1575055557914658E-2</v>
      </c>
      <c r="AG179" s="19">
        <v>1.6876908272744866</v>
      </c>
      <c r="AH179" s="19">
        <v>7.8734226558858159E-2</v>
      </c>
      <c r="AI179" s="19">
        <v>1.7664250538333448</v>
      </c>
      <c r="AJ179" s="19">
        <v>0</v>
      </c>
      <c r="AK179" s="19">
        <v>57.244667104571135</v>
      </c>
      <c r="AL179" s="23">
        <v>1134.1166671045712</v>
      </c>
      <c r="AM179" s="22">
        <v>1.4709705891825043E-2</v>
      </c>
      <c r="AN179" s="19">
        <v>2.1543104841910781</v>
      </c>
      <c r="AO179" s="19">
        <v>7.8734226558858159E-2</v>
      </c>
      <c r="AP179" s="19">
        <v>2.2330447107499363</v>
      </c>
      <c r="AQ179" s="19">
        <v>0</v>
      </c>
      <c r="AR179" s="19">
        <v>44.535979367303071</v>
      </c>
      <c r="AS179" s="23">
        <v>1121.4079793673031</v>
      </c>
    </row>
    <row r="180" spans="5:45">
      <c r="E180" s="35" t="str">
        <f t="shared" si="56"/>
        <v/>
      </c>
      <c r="F180" s="19">
        <v>354</v>
      </c>
      <c r="G180" s="19">
        <v>1070.8979999999999</v>
      </c>
      <c r="H180" s="19">
        <v>2</v>
      </c>
      <c r="I180" s="19">
        <v>1.8</v>
      </c>
      <c r="J180" s="36">
        <v>4.0831050228310497</v>
      </c>
      <c r="K180" s="36">
        <v>1.6045588828318709</v>
      </c>
      <c r="L180" s="37">
        <v>2555934.503625989</v>
      </c>
      <c r="M180" s="37" t="s">
        <v>96</v>
      </c>
      <c r="N180" s="23">
        <v>73.183722916598526</v>
      </c>
      <c r="O180" s="57">
        <v>68.719617875932272</v>
      </c>
      <c r="P180" s="66">
        <v>11.25</v>
      </c>
      <c r="Q180" s="68">
        <v>992548.40161508287</v>
      </c>
      <c r="R180" s="27">
        <v>8.7463077071963571E-3</v>
      </c>
      <c r="S180" s="19">
        <v>1.2752477269849725</v>
      </c>
      <c r="T180" s="19">
        <v>7.8734226558858159E-2</v>
      </c>
      <c r="U180" s="19">
        <v>1.3539819535438307</v>
      </c>
      <c r="V180" s="19">
        <v>0</v>
      </c>
      <c r="W180" s="19">
        <v>73.183722916598526</v>
      </c>
      <c r="X180" s="23">
        <v>1144.0817229165984</v>
      </c>
      <c r="Y180" s="22">
        <v>9.8211436332891755E-3</v>
      </c>
      <c r="Z180" s="19">
        <v>1.431963236834217</v>
      </c>
      <c r="AA180" s="19">
        <v>7.8734226558858159E-2</v>
      </c>
      <c r="AB180" s="19">
        <v>1.5106974633930752</v>
      </c>
      <c r="AC180" s="19">
        <v>0</v>
      </c>
      <c r="AD180" s="19">
        <v>68.719617875932272</v>
      </c>
      <c r="AE180" s="23">
        <v>1139.6176178759322</v>
      </c>
      <c r="AF180" s="27">
        <v>1.1575055557914658E-2</v>
      </c>
      <c r="AG180" s="19">
        <v>1.6876908272744866</v>
      </c>
      <c r="AH180" s="19">
        <v>7.8734226558858159E-2</v>
      </c>
      <c r="AI180" s="19">
        <v>1.7664250538333448</v>
      </c>
      <c r="AJ180" s="19">
        <v>0</v>
      </c>
      <c r="AK180" s="19">
        <v>61.45224205073805</v>
      </c>
      <c r="AL180" s="23">
        <v>1132.350242050738</v>
      </c>
      <c r="AM180" s="22">
        <v>1.4709705891825043E-2</v>
      </c>
      <c r="AN180" s="19">
        <v>2.1543104841910781</v>
      </c>
      <c r="AO180" s="19">
        <v>7.8734226558858159E-2</v>
      </c>
      <c r="AP180" s="19">
        <v>2.2330447107499363</v>
      </c>
      <c r="AQ180" s="19">
        <v>0</v>
      </c>
      <c r="AR180" s="19">
        <v>48.276934656553294</v>
      </c>
      <c r="AS180" s="23">
        <v>1119.1749346565532</v>
      </c>
    </row>
    <row r="181" spans="5:45">
      <c r="E181" s="35" t="str">
        <f t="shared" si="56"/>
        <v/>
      </c>
      <c r="F181" s="19">
        <v>356</v>
      </c>
      <c r="G181" s="19">
        <v>1065.018</v>
      </c>
      <c r="H181" s="19">
        <v>2</v>
      </c>
      <c r="I181" s="19">
        <v>1.8</v>
      </c>
      <c r="J181" s="36">
        <v>4.0831050228310497</v>
      </c>
      <c r="K181" s="36">
        <v>1.6045588828318709</v>
      </c>
      <c r="L181" s="37">
        <v>2555934.503625989</v>
      </c>
      <c r="M181" s="37" t="s">
        <v>96</v>
      </c>
      <c r="N181" s="23">
        <v>77.709740963054628</v>
      </c>
      <c r="O181" s="57">
        <v>73.088920412538982</v>
      </c>
      <c r="P181" s="66">
        <v>11.25</v>
      </c>
      <c r="Q181" s="68">
        <v>992548.40161508287</v>
      </c>
      <c r="R181" s="27">
        <v>8.7463077071963571E-3</v>
      </c>
      <c r="S181" s="19">
        <v>1.2752477269849725</v>
      </c>
      <c r="T181" s="19">
        <v>7.8734226558858159E-2</v>
      </c>
      <c r="U181" s="19">
        <v>1.3539819535438307</v>
      </c>
      <c r="V181" s="19">
        <v>0</v>
      </c>
      <c r="W181" s="19">
        <v>77.709740963054628</v>
      </c>
      <c r="X181" s="23">
        <v>1142.7277409630547</v>
      </c>
      <c r="Y181" s="22">
        <v>9.8211436332891755E-3</v>
      </c>
      <c r="Z181" s="19">
        <v>1.431963236834217</v>
      </c>
      <c r="AA181" s="19">
        <v>7.8734226558858159E-2</v>
      </c>
      <c r="AB181" s="19">
        <v>1.5106974633930752</v>
      </c>
      <c r="AC181" s="19">
        <v>0</v>
      </c>
      <c r="AD181" s="19">
        <v>73.088920412538982</v>
      </c>
      <c r="AE181" s="23">
        <v>1138.106920412539</v>
      </c>
      <c r="AF181" s="27">
        <v>1.1575055557914658E-2</v>
      </c>
      <c r="AG181" s="19">
        <v>1.6876908272744866</v>
      </c>
      <c r="AH181" s="19">
        <v>7.8734226558858159E-2</v>
      </c>
      <c r="AI181" s="19">
        <v>1.7664250538333448</v>
      </c>
      <c r="AJ181" s="19">
        <v>0</v>
      </c>
      <c r="AK181" s="19">
        <v>65.565816996904687</v>
      </c>
      <c r="AL181" s="23">
        <v>1130.5838169969047</v>
      </c>
      <c r="AM181" s="22">
        <v>1.4709705891825043E-2</v>
      </c>
      <c r="AN181" s="19">
        <v>2.1543104841910781</v>
      </c>
      <c r="AO181" s="19">
        <v>7.8734226558858159E-2</v>
      </c>
      <c r="AP181" s="19">
        <v>2.2330447107499363</v>
      </c>
      <c r="AQ181" s="19">
        <v>0</v>
      </c>
      <c r="AR181" s="19">
        <v>51.923889945803239</v>
      </c>
      <c r="AS181" s="23">
        <v>1116.9418899458033</v>
      </c>
    </row>
    <row r="182" spans="5:45">
      <c r="E182" s="35" t="str">
        <f t="shared" si="56"/>
        <v/>
      </c>
      <c r="F182" s="19">
        <v>358</v>
      </c>
      <c r="G182" s="19">
        <v>1059.58</v>
      </c>
      <c r="H182" s="19">
        <v>2</v>
      </c>
      <c r="I182" s="19">
        <v>1.8</v>
      </c>
      <c r="J182" s="36">
        <v>4.0831050228310497</v>
      </c>
      <c r="K182" s="36">
        <v>1.6045588828318709</v>
      </c>
      <c r="L182" s="37">
        <v>2555934.503625989</v>
      </c>
      <c r="M182" s="37" t="s">
        <v>96</v>
      </c>
      <c r="N182" s="23">
        <v>81.79375900951095</v>
      </c>
      <c r="O182" s="57">
        <v>77.016222949145913</v>
      </c>
      <c r="P182" s="66">
        <v>11.25</v>
      </c>
      <c r="Q182" s="68">
        <v>992548.40161508287</v>
      </c>
      <c r="R182" s="27">
        <v>8.7463077071963571E-3</v>
      </c>
      <c r="S182" s="19">
        <v>1.2752477269849725</v>
      </c>
      <c r="T182" s="19">
        <v>7.8734226558858159E-2</v>
      </c>
      <c r="U182" s="19">
        <v>1.3539819535438307</v>
      </c>
      <c r="V182" s="19">
        <v>0</v>
      </c>
      <c r="W182" s="19">
        <v>81.79375900951095</v>
      </c>
      <c r="X182" s="23">
        <v>1141.3737590095109</v>
      </c>
      <c r="Y182" s="22">
        <v>9.8211436332891755E-3</v>
      </c>
      <c r="Z182" s="19">
        <v>1.431963236834217</v>
      </c>
      <c r="AA182" s="19">
        <v>7.8734226558858159E-2</v>
      </c>
      <c r="AB182" s="19">
        <v>1.5106974633930752</v>
      </c>
      <c r="AC182" s="19">
        <v>0</v>
      </c>
      <c r="AD182" s="19">
        <v>77.016222949145913</v>
      </c>
      <c r="AE182" s="23">
        <v>1136.5962229491458</v>
      </c>
      <c r="AF182" s="27">
        <v>1.1575055557914658E-2</v>
      </c>
      <c r="AG182" s="19">
        <v>1.6876908272744866</v>
      </c>
      <c r="AH182" s="19">
        <v>7.8734226558858159E-2</v>
      </c>
      <c r="AI182" s="19">
        <v>1.7664250538333448</v>
      </c>
      <c r="AJ182" s="19">
        <v>0</v>
      </c>
      <c r="AK182" s="19">
        <v>69.237391943071543</v>
      </c>
      <c r="AL182" s="23">
        <v>1128.8173919430715</v>
      </c>
      <c r="AM182" s="22">
        <v>1.4709705891825043E-2</v>
      </c>
      <c r="AN182" s="19">
        <v>2.1543104841910781</v>
      </c>
      <c r="AO182" s="19">
        <v>7.8734226558858159E-2</v>
      </c>
      <c r="AP182" s="19">
        <v>2.2330447107499363</v>
      </c>
      <c r="AQ182" s="19">
        <v>0</v>
      </c>
      <c r="AR182" s="19">
        <v>55.128845235053404</v>
      </c>
      <c r="AS182" s="23">
        <v>1114.7088452350533</v>
      </c>
    </row>
    <row r="183" spans="5:45">
      <c r="E183" s="35" t="str">
        <f t="shared" si="56"/>
        <v/>
      </c>
      <c r="F183" s="19">
        <v>360</v>
      </c>
      <c r="G183" s="19">
        <v>1055.2840000000001</v>
      </c>
      <c r="H183" s="19">
        <v>2</v>
      </c>
      <c r="I183" s="19">
        <v>1.8</v>
      </c>
      <c r="J183" s="36">
        <v>4.0831050228310497</v>
      </c>
      <c r="K183" s="36">
        <v>1.6045588828318709</v>
      </c>
      <c r="L183" s="37">
        <v>2555934.503625989</v>
      </c>
      <c r="M183" s="37" t="s">
        <v>96</v>
      </c>
      <c r="N183" s="23">
        <v>84.735777055966992</v>
      </c>
      <c r="O183" s="57">
        <v>79.801525485752563</v>
      </c>
      <c r="P183" s="66">
        <v>11.25</v>
      </c>
      <c r="Q183" s="68">
        <v>992548.40161508287</v>
      </c>
      <c r="R183" s="27">
        <v>8.7463077071963571E-3</v>
      </c>
      <c r="S183" s="19">
        <v>1.2752477269849725</v>
      </c>
      <c r="T183" s="19">
        <v>7.8734226558858159E-2</v>
      </c>
      <c r="U183" s="19">
        <v>1.3539819535438307</v>
      </c>
      <c r="V183" s="19">
        <v>0</v>
      </c>
      <c r="W183" s="19">
        <v>84.735777055966992</v>
      </c>
      <c r="X183" s="23">
        <v>1140.0197770559671</v>
      </c>
      <c r="Y183" s="22">
        <v>9.8211436332891755E-3</v>
      </c>
      <c r="Z183" s="19">
        <v>1.431963236834217</v>
      </c>
      <c r="AA183" s="19">
        <v>7.8734226558858159E-2</v>
      </c>
      <c r="AB183" s="19">
        <v>1.5106974633930752</v>
      </c>
      <c r="AC183" s="19">
        <v>0</v>
      </c>
      <c r="AD183" s="19">
        <v>79.801525485752563</v>
      </c>
      <c r="AE183" s="23">
        <v>1135.0855254857527</v>
      </c>
      <c r="AF183" s="27">
        <v>1.1575055557914658E-2</v>
      </c>
      <c r="AG183" s="19">
        <v>1.6876908272744866</v>
      </c>
      <c r="AH183" s="19">
        <v>7.8734226558858159E-2</v>
      </c>
      <c r="AI183" s="19">
        <v>1.7664250538333448</v>
      </c>
      <c r="AJ183" s="19">
        <v>0</v>
      </c>
      <c r="AK183" s="19">
        <v>71.76696688923812</v>
      </c>
      <c r="AL183" s="23">
        <v>1127.0509668892382</v>
      </c>
      <c r="AM183" s="22">
        <v>1.4709705891825043E-2</v>
      </c>
      <c r="AN183" s="19">
        <v>2.1543104841910781</v>
      </c>
      <c r="AO183" s="19">
        <v>7.8734226558858159E-2</v>
      </c>
      <c r="AP183" s="19">
        <v>2.2330447107499363</v>
      </c>
      <c r="AQ183" s="19">
        <v>0</v>
      </c>
      <c r="AR183" s="19">
        <v>57.191800524303289</v>
      </c>
      <c r="AS183" s="23">
        <v>1112.4758005243034</v>
      </c>
    </row>
    <row r="184" spans="5:45">
      <c r="E184" s="35" t="str">
        <f t="shared" si="56"/>
        <v/>
      </c>
      <c r="F184" s="19">
        <v>362</v>
      </c>
      <c r="G184" s="19">
        <v>1050.886</v>
      </c>
      <c r="H184" s="19">
        <v>2</v>
      </c>
      <c r="I184" s="19">
        <v>1.8</v>
      </c>
      <c r="J184" s="36">
        <v>4.0831050228310497</v>
      </c>
      <c r="K184" s="36">
        <v>1.6045588828318709</v>
      </c>
      <c r="L184" s="37">
        <v>2555934.503625989</v>
      </c>
      <c r="M184" s="37" t="s">
        <v>96</v>
      </c>
      <c r="N184" s="23">
        <v>87.77979510242335</v>
      </c>
      <c r="O184" s="57">
        <v>82.68882802235953</v>
      </c>
      <c r="P184" s="66">
        <v>11.25</v>
      </c>
      <c r="Q184" s="68">
        <v>992548.40161508287</v>
      </c>
      <c r="R184" s="27">
        <v>8.7463077071963571E-3</v>
      </c>
      <c r="S184" s="19">
        <v>1.2752477269849725</v>
      </c>
      <c r="T184" s="19">
        <v>7.8734226558858159E-2</v>
      </c>
      <c r="U184" s="19">
        <v>1.3539819535438307</v>
      </c>
      <c r="V184" s="19">
        <v>0</v>
      </c>
      <c r="W184" s="19">
        <v>87.77979510242335</v>
      </c>
      <c r="X184" s="23">
        <v>1138.6657951024233</v>
      </c>
      <c r="Y184" s="22">
        <v>9.8211436332891755E-3</v>
      </c>
      <c r="Z184" s="19">
        <v>1.431963236834217</v>
      </c>
      <c r="AA184" s="19">
        <v>7.8734226558858159E-2</v>
      </c>
      <c r="AB184" s="19">
        <v>1.5106974633930752</v>
      </c>
      <c r="AC184" s="19">
        <v>0</v>
      </c>
      <c r="AD184" s="19">
        <v>82.68882802235953</v>
      </c>
      <c r="AE184" s="23">
        <v>1133.5748280223595</v>
      </c>
      <c r="AF184" s="27">
        <v>1.1575055557914658E-2</v>
      </c>
      <c r="AG184" s="19">
        <v>1.6876908272744866</v>
      </c>
      <c r="AH184" s="19">
        <v>7.8734226558858159E-2</v>
      </c>
      <c r="AI184" s="19">
        <v>1.7664250538333448</v>
      </c>
      <c r="AJ184" s="19">
        <v>0</v>
      </c>
      <c r="AK184" s="19">
        <v>74.398541835405013</v>
      </c>
      <c r="AL184" s="23">
        <v>1125.284541835405</v>
      </c>
      <c r="AM184" s="22">
        <v>1.4709705891825043E-2</v>
      </c>
      <c r="AN184" s="19">
        <v>2.1543104841910781</v>
      </c>
      <c r="AO184" s="19">
        <v>7.8734226558858159E-2</v>
      </c>
      <c r="AP184" s="19">
        <v>2.2330447107499363</v>
      </c>
      <c r="AQ184" s="19">
        <v>0</v>
      </c>
      <c r="AR184" s="19">
        <v>59.356755813553491</v>
      </c>
      <c r="AS184" s="23">
        <v>1110.2427558135535</v>
      </c>
    </row>
    <row r="185" spans="5:45">
      <c r="E185" s="35" t="str">
        <f t="shared" si="56"/>
        <v/>
      </c>
      <c r="F185" s="19">
        <v>364</v>
      </c>
      <c r="G185" s="19">
        <v>1052.6469999999999</v>
      </c>
      <c r="H185" s="19">
        <v>2</v>
      </c>
      <c r="I185" s="19">
        <v>1.8</v>
      </c>
      <c r="J185" s="36">
        <v>4.0831050228310497</v>
      </c>
      <c r="K185" s="36">
        <v>1.6045588828318709</v>
      </c>
      <c r="L185" s="37">
        <v>2555934.503625989</v>
      </c>
      <c r="M185" s="37" t="s">
        <v>96</v>
      </c>
      <c r="N185" s="23">
        <v>84.664813148879603</v>
      </c>
      <c r="O185" s="57">
        <v>79.417130558966392</v>
      </c>
      <c r="P185" s="66">
        <v>11.25</v>
      </c>
      <c r="Q185" s="68">
        <v>992548.40161508287</v>
      </c>
      <c r="R185" s="27">
        <v>8.7463077071963571E-3</v>
      </c>
      <c r="S185" s="19">
        <v>1.2752477269849725</v>
      </c>
      <c r="T185" s="19">
        <v>7.8734226558858159E-2</v>
      </c>
      <c r="U185" s="19">
        <v>1.3539819535438307</v>
      </c>
      <c r="V185" s="19">
        <v>0</v>
      </c>
      <c r="W185" s="19">
        <v>84.664813148879603</v>
      </c>
      <c r="X185" s="23">
        <v>1137.3118131488795</v>
      </c>
      <c r="Y185" s="22">
        <v>9.8211436332891755E-3</v>
      </c>
      <c r="Z185" s="19">
        <v>1.431963236834217</v>
      </c>
      <c r="AA185" s="19">
        <v>7.8734226558858159E-2</v>
      </c>
      <c r="AB185" s="19">
        <v>1.5106974633930752</v>
      </c>
      <c r="AC185" s="19">
        <v>0</v>
      </c>
      <c r="AD185" s="19">
        <v>79.417130558966392</v>
      </c>
      <c r="AE185" s="23">
        <v>1132.0641305589663</v>
      </c>
      <c r="AF185" s="27">
        <v>1.1575055557914658E-2</v>
      </c>
      <c r="AG185" s="19">
        <v>1.6876908272744866</v>
      </c>
      <c r="AH185" s="19">
        <v>7.8734226558858159E-2</v>
      </c>
      <c r="AI185" s="19">
        <v>1.7664250538333448</v>
      </c>
      <c r="AJ185" s="19">
        <v>0</v>
      </c>
      <c r="AK185" s="19">
        <v>70.8711167815718</v>
      </c>
      <c r="AL185" s="23">
        <v>1123.5181167815717</v>
      </c>
      <c r="AM185" s="22">
        <v>1.4709705891825043E-2</v>
      </c>
      <c r="AN185" s="19">
        <v>2.1543104841910781</v>
      </c>
      <c r="AO185" s="19">
        <v>7.8734226558858159E-2</v>
      </c>
      <c r="AP185" s="19">
        <v>2.2330447107499363</v>
      </c>
      <c r="AQ185" s="19">
        <v>0</v>
      </c>
      <c r="AR185" s="19">
        <v>55.362711102803587</v>
      </c>
      <c r="AS185" s="23">
        <v>1108.0097111028035</v>
      </c>
    </row>
    <row r="186" spans="5:45">
      <c r="E186" s="35" t="str">
        <f t="shared" si="56"/>
        <v/>
      </c>
      <c r="F186" s="19">
        <v>366</v>
      </c>
      <c r="G186" s="19">
        <v>1051.117</v>
      </c>
      <c r="H186" s="19">
        <v>2</v>
      </c>
      <c r="I186" s="19">
        <v>1.8</v>
      </c>
      <c r="J186" s="36">
        <v>4.0831050228310497</v>
      </c>
      <c r="K186" s="36">
        <v>1.6045588828318709</v>
      </c>
      <c r="L186" s="37">
        <v>2555934.503625989</v>
      </c>
      <c r="M186" s="37" t="s">
        <v>96</v>
      </c>
      <c r="N186" s="23">
        <v>84.840831195335795</v>
      </c>
      <c r="O186" s="57">
        <v>79.436433095573193</v>
      </c>
      <c r="P186" s="66">
        <v>11.25</v>
      </c>
      <c r="Q186" s="68">
        <v>992548.40161508287</v>
      </c>
      <c r="R186" s="27">
        <v>8.7463077071963571E-3</v>
      </c>
      <c r="S186" s="19">
        <v>1.2752477269849725</v>
      </c>
      <c r="T186" s="19">
        <v>7.8734226558858159E-2</v>
      </c>
      <c r="U186" s="19">
        <v>1.3539819535438307</v>
      </c>
      <c r="V186" s="19">
        <v>0</v>
      </c>
      <c r="W186" s="19">
        <v>84.840831195335795</v>
      </c>
      <c r="X186" s="23">
        <v>1135.9578311953358</v>
      </c>
      <c r="Y186" s="22">
        <v>9.8211436332891755E-3</v>
      </c>
      <c r="Z186" s="19">
        <v>1.431963236834217</v>
      </c>
      <c r="AA186" s="19">
        <v>7.8734226558858159E-2</v>
      </c>
      <c r="AB186" s="19">
        <v>1.5106974633930752</v>
      </c>
      <c r="AC186" s="19">
        <v>0</v>
      </c>
      <c r="AD186" s="19">
        <v>79.436433095573193</v>
      </c>
      <c r="AE186" s="23">
        <v>1130.5534330955732</v>
      </c>
      <c r="AF186" s="27">
        <v>1.1575055557914658E-2</v>
      </c>
      <c r="AG186" s="19">
        <v>1.6876908272744866</v>
      </c>
      <c r="AH186" s="19">
        <v>7.8734226558858159E-2</v>
      </c>
      <c r="AI186" s="19">
        <v>1.7664250538333448</v>
      </c>
      <c r="AJ186" s="19">
        <v>0</v>
      </c>
      <c r="AK186" s="19">
        <v>70.634691727738527</v>
      </c>
      <c r="AL186" s="23">
        <v>1121.7516917277385</v>
      </c>
      <c r="AM186" s="22">
        <v>1.4709705891825043E-2</v>
      </c>
      <c r="AN186" s="19">
        <v>2.1543104841910781</v>
      </c>
      <c r="AO186" s="19">
        <v>7.8734226558858159E-2</v>
      </c>
      <c r="AP186" s="19">
        <v>2.2330447107499363</v>
      </c>
      <c r="AQ186" s="19">
        <v>0</v>
      </c>
      <c r="AR186" s="19">
        <v>54.659666392053623</v>
      </c>
      <c r="AS186" s="23">
        <v>1105.7766663920536</v>
      </c>
    </row>
    <row r="187" spans="5:45">
      <c r="E187" s="35" t="str">
        <f t="shared" si="56"/>
        <v/>
      </c>
      <c r="F187" s="19">
        <v>368</v>
      </c>
      <c r="G187" s="19">
        <v>1048.2660000000001</v>
      </c>
      <c r="H187" s="19">
        <v>2</v>
      </c>
      <c r="I187" s="19">
        <v>1.8</v>
      </c>
      <c r="J187" s="36">
        <v>4.0831050228310497</v>
      </c>
      <c r="K187" s="36">
        <v>1.6045588828318709</v>
      </c>
      <c r="L187" s="37">
        <v>2555934.503625989</v>
      </c>
      <c r="M187" s="37" t="s">
        <v>96</v>
      </c>
      <c r="N187" s="23">
        <v>86.337849241791901</v>
      </c>
      <c r="O187" s="57">
        <v>80.776735632179907</v>
      </c>
      <c r="P187" s="66">
        <v>11.25</v>
      </c>
      <c r="Q187" s="68">
        <v>992548.40161508287</v>
      </c>
      <c r="R187" s="27">
        <v>8.7463077071963571E-3</v>
      </c>
      <c r="S187" s="19">
        <v>1.2752477269849725</v>
      </c>
      <c r="T187" s="19">
        <v>7.8734226558858159E-2</v>
      </c>
      <c r="U187" s="19">
        <v>1.3539819535438307</v>
      </c>
      <c r="V187" s="19">
        <v>0</v>
      </c>
      <c r="W187" s="19">
        <v>86.337849241791901</v>
      </c>
      <c r="X187" s="23">
        <v>1134.603849241792</v>
      </c>
      <c r="Y187" s="22">
        <v>9.8211436332891755E-3</v>
      </c>
      <c r="Z187" s="19">
        <v>1.431963236834217</v>
      </c>
      <c r="AA187" s="19">
        <v>7.8734226558858159E-2</v>
      </c>
      <c r="AB187" s="19">
        <v>1.5106974633930752</v>
      </c>
      <c r="AC187" s="19">
        <v>0</v>
      </c>
      <c r="AD187" s="19">
        <v>80.776735632179907</v>
      </c>
      <c r="AE187" s="23">
        <v>1129.04273563218</v>
      </c>
      <c r="AF187" s="27">
        <v>1.1575055557914658E-2</v>
      </c>
      <c r="AG187" s="19">
        <v>1.6876908272744866</v>
      </c>
      <c r="AH187" s="19">
        <v>7.8734226558858159E-2</v>
      </c>
      <c r="AI187" s="19">
        <v>1.7664250538333448</v>
      </c>
      <c r="AJ187" s="19">
        <v>0</v>
      </c>
      <c r="AK187" s="19">
        <v>71.719266673905167</v>
      </c>
      <c r="AL187" s="23">
        <v>1119.9852666739052</v>
      </c>
      <c r="AM187" s="22">
        <v>1.4709705891825043E-2</v>
      </c>
      <c r="AN187" s="19">
        <v>2.1543104841910781</v>
      </c>
      <c r="AO187" s="19">
        <v>7.8734226558858159E-2</v>
      </c>
      <c r="AP187" s="19">
        <v>2.2330447107499363</v>
      </c>
      <c r="AQ187" s="19">
        <v>0</v>
      </c>
      <c r="AR187" s="19">
        <v>55.277621681303572</v>
      </c>
      <c r="AS187" s="23">
        <v>1103.5436216813036</v>
      </c>
    </row>
    <row r="188" spans="5:45">
      <c r="E188" s="35" t="str">
        <f t="shared" si="56"/>
        <v/>
      </c>
      <c r="F188" s="19">
        <v>370</v>
      </c>
      <c r="G188" s="19">
        <v>1040.172</v>
      </c>
      <c r="H188" s="19">
        <v>2</v>
      </c>
      <c r="I188" s="19">
        <v>1.8</v>
      </c>
      <c r="J188" s="36">
        <v>4.0831050228310497</v>
      </c>
      <c r="K188" s="36">
        <v>1.6045588828318709</v>
      </c>
      <c r="L188" s="37">
        <v>2555934.503625989</v>
      </c>
      <c r="M188" s="37" t="s">
        <v>96</v>
      </c>
      <c r="N188" s="23">
        <v>93.077867288248171</v>
      </c>
      <c r="O188" s="57">
        <v>87.360038168786787</v>
      </c>
      <c r="P188" s="66">
        <v>11.25</v>
      </c>
      <c r="Q188" s="68">
        <v>992548.40161508287</v>
      </c>
      <c r="R188" s="27">
        <v>8.7463077071963571E-3</v>
      </c>
      <c r="S188" s="19">
        <v>1.2752477269849725</v>
      </c>
      <c r="T188" s="19">
        <v>7.8734226558858159E-2</v>
      </c>
      <c r="U188" s="19">
        <v>1.3539819535438307</v>
      </c>
      <c r="V188" s="19">
        <v>0</v>
      </c>
      <c r="W188" s="19">
        <v>93.077867288248171</v>
      </c>
      <c r="X188" s="23">
        <v>1133.2498672882482</v>
      </c>
      <c r="Y188" s="22">
        <v>9.8211436332891755E-3</v>
      </c>
      <c r="Z188" s="19">
        <v>1.431963236834217</v>
      </c>
      <c r="AA188" s="19">
        <v>7.8734226558858159E-2</v>
      </c>
      <c r="AB188" s="19">
        <v>1.5106974633930752</v>
      </c>
      <c r="AC188" s="19">
        <v>0</v>
      </c>
      <c r="AD188" s="19">
        <v>87.360038168786787</v>
      </c>
      <c r="AE188" s="23">
        <v>1127.5320381687868</v>
      </c>
      <c r="AF188" s="27">
        <v>1.1575055557914658E-2</v>
      </c>
      <c r="AG188" s="19">
        <v>1.6876908272744866</v>
      </c>
      <c r="AH188" s="19">
        <v>7.8734226558858159E-2</v>
      </c>
      <c r="AI188" s="19">
        <v>1.7664250538333448</v>
      </c>
      <c r="AJ188" s="19">
        <v>0</v>
      </c>
      <c r="AK188" s="19">
        <v>78.046841620071973</v>
      </c>
      <c r="AL188" s="23">
        <v>1118.218841620072</v>
      </c>
      <c r="AM188" s="22">
        <v>1.4709705891825043E-2</v>
      </c>
      <c r="AN188" s="19">
        <v>2.1543104841910781</v>
      </c>
      <c r="AO188" s="19">
        <v>7.8734226558858159E-2</v>
      </c>
      <c r="AP188" s="19">
        <v>2.2330447107499363</v>
      </c>
      <c r="AQ188" s="19">
        <v>0</v>
      </c>
      <c r="AR188" s="19">
        <v>61.138576970553686</v>
      </c>
      <c r="AS188" s="23">
        <v>1101.3105769705537</v>
      </c>
    </row>
    <row r="189" spans="5:45">
      <c r="E189" s="35" t="str">
        <f t="shared" si="56"/>
        <v/>
      </c>
      <c r="F189" s="19">
        <v>372</v>
      </c>
      <c r="G189" s="19">
        <v>1033.4829999999999</v>
      </c>
      <c r="H189" s="19">
        <v>2</v>
      </c>
      <c r="I189" s="19">
        <v>1.8</v>
      </c>
      <c r="J189" s="36">
        <v>4.0831050228310497</v>
      </c>
      <c r="K189" s="36">
        <v>1.6045588828318709</v>
      </c>
      <c r="L189" s="37">
        <v>2555934.503625989</v>
      </c>
      <c r="M189" s="37" t="s">
        <v>96</v>
      </c>
      <c r="N189" s="23">
        <v>98.41288533470447</v>
      </c>
      <c r="O189" s="57">
        <v>92.538340705393693</v>
      </c>
      <c r="P189" s="66">
        <v>11.25</v>
      </c>
      <c r="Q189" s="68">
        <v>992548.40161508287</v>
      </c>
      <c r="R189" s="27">
        <v>8.7463077071963571E-3</v>
      </c>
      <c r="S189" s="19">
        <v>1.2752477269849725</v>
      </c>
      <c r="T189" s="19">
        <v>7.8734226558858159E-2</v>
      </c>
      <c r="U189" s="19">
        <v>1.3539819535438307</v>
      </c>
      <c r="V189" s="19">
        <v>0</v>
      </c>
      <c r="W189" s="19">
        <v>98.41288533470447</v>
      </c>
      <c r="X189" s="23">
        <v>1131.8958853347044</v>
      </c>
      <c r="Y189" s="22">
        <v>9.8211436332891755E-3</v>
      </c>
      <c r="Z189" s="19">
        <v>1.431963236834217</v>
      </c>
      <c r="AA189" s="19">
        <v>7.8734226558858159E-2</v>
      </c>
      <c r="AB189" s="19">
        <v>1.5106974633930752</v>
      </c>
      <c r="AC189" s="19">
        <v>0</v>
      </c>
      <c r="AD189" s="19">
        <v>92.538340705393693</v>
      </c>
      <c r="AE189" s="23">
        <v>1126.0213407053936</v>
      </c>
      <c r="AF189" s="27">
        <v>1.1575055557914658E-2</v>
      </c>
      <c r="AG189" s="19">
        <v>1.6876908272744866</v>
      </c>
      <c r="AH189" s="19">
        <v>7.8734226558858159E-2</v>
      </c>
      <c r="AI189" s="19">
        <v>1.7664250538333448</v>
      </c>
      <c r="AJ189" s="19">
        <v>0</v>
      </c>
      <c r="AK189" s="19">
        <v>82.969416566238806</v>
      </c>
      <c r="AL189" s="23">
        <v>1116.4524165662388</v>
      </c>
      <c r="AM189" s="22">
        <v>1.4709705891825043E-2</v>
      </c>
      <c r="AN189" s="19">
        <v>2.1543104841910781</v>
      </c>
      <c r="AO189" s="19">
        <v>7.8734226558858159E-2</v>
      </c>
      <c r="AP189" s="19">
        <v>2.2330447107499363</v>
      </c>
      <c r="AQ189" s="19">
        <v>0</v>
      </c>
      <c r="AR189" s="19">
        <v>65.594532259803827</v>
      </c>
      <c r="AS189" s="23">
        <v>1099.0775322598038</v>
      </c>
    </row>
    <row r="190" spans="5:45">
      <c r="E190" s="35" t="str">
        <f t="shared" si="56"/>
        <v/>
      </c>
      <c r="F190" s="19">
        <v>374</v>
      </c>
      <c r="G190" s="19">
        <v>1030.95</v>
      </c>
      <c r="H190" s="19">
        <v>2</v>
      </c>
      <c r="I190" s="19">
        <v>1.8</v>
      </c>
      <c r="J190" s="36">
        <v>4.0831050228310497</v>
      </c>
      <c r="K190" s="36">
        <v>1.6045588828318709</v>
      </c>
      <c r="L190" s="37">
        <v>2555934.503625989</v>
      </c>
      <c r="M190" s="37" t="s">
        <v>96</v>
      </c>
      <c r="N190" s="23">
        <v>99.591903381160591</v>
      </c>
      <c r="O190" s="57">
        <v>93.560643242000424</v>
      </c>
      <c r="P190" s="66">
        <v>11.25</v>
      </c>
      <c r="Q190" s="68">
        <v>992548.40161508287</v>
      </c>
      <c r="R190" s="27">
        <v>8.7463077071963571E-3</v>
      </c>
      <c r="S190" s="19">
        <v>1.2752477269849725</v>
      </c>
      <c r="T190" s="19">
        <v>7.8734226558858159E-2</v>
      </c>
      <c r="U190" s="19">
        <v>1.3539819535438307</v>
      </c>
      <c r="V190" s="19">
        <v>0</v>
      </c>
      <c r="W190" s="19">
        <v>99.591903381160591</v>
      </c>
      <c r="X190" s="23">
        <v>1130.5419033811606</v>
      </c>
      <c r="Y190" s="22">
        <v>9.8211436332891755E-3</v>
      </c>
      <c r="Z190" s="19">
        <v>1.431963236834217</v>
      </c>
      <c r="AA190" s="19">
        <v>7.8734226558858159E-2</v>
      </c>
      <c r="AB190" s="19">
        <v>1.5106974633930752</v>
      </c>
      <c r="AC190" s="19">
        <v>0</v>
      </c>
      <c r="AD190" s="19">
        <v>93.560643242000424</v>
      </c>
      <c r="AE190" s="23">
        <v>1124.5106432420005</v>
      </c>
      <c r="AF190" s="27">
        <v>1.1575055557914658E-2</v>
      </c>
      <c r="AG190" s="19">
        <v>1.6876908272744866</v>
      </c>
      <c r="AH190" s="19">
        <v>7.8734226558858159E-2</v>
      </c>
      <c r="AI190" s="19">
        <v>1.7664250538333448</v>
      </c>
      <c r="AJ190" s="19">
        <v>0</v>
      </c>
      <c r="AK190" s="19">
        <v>83.735991512405462</v>
      </c>
      <c r="AL190" s="23">
        <v>1114.6859915124055</v>
      </c>
      <c r="AM190" s="22">
        <v>1.4709705891825043E-2</v>
      </c>
      <c r="AN190" s="19">
        <v>2.1543104841910781</v>
      </c>
      <c r="AO190" s="19">
        <v>7.8734226558858159E-2</v>
      </c>
      <c r="AP190" s="19">
        <v>2.2330447107499363</v>
      </c>
      <c r="AQ190" s="19">
        <v>0</v>
      </c>
      <c r="AR190" s="19">
        <v>65.894487549053792</v>
      </c>
      <c r="AS190" s="23">
        <v>1096.8444875490538</v>
      </c>
    </row>
    <row r="191" spans="5:45">
      <c r="E191" s="35" t="str">
        <f t="shared" si="56"/>
        <v/>
      </c>
      <c r="F191" s="19">
        <v>376</v>
      </c>
      <c r="G191" s="19">
        <v>1032.2629999999999</v>
      </c>
      <c r="H191" s="19">
        <v>2</v>
      </c>
      <c r="I191" s="19">
        <v>1.8</v>
      </c>
      <c r="J191" s="36">
        <v>4.0831050228310497</v>
      </c>
      <c r="K191" s="36">
        <v>1.6045588828318709</v>
      </c>
      <c r="L191" s="37">
        <v>2555934.503625989</v>
      </c>
      <c r="M191" s="37" t="s">
        <v>96</v>
      </c>
      <c r="N191" s="23">
        <v>96.924921427616937</v>
      </c>
      <c r="O191" s="57">
        <v>90.736945778607378</v>
      </c>
      <c r="P191" s="66">
        <v>11.25</v>
      </c>
      <c r="Q191" s="68">
        <v>992548.40161508287</v>
      </c>
      <c r="R191" s="27">
        <v>8.7463077071963571E-3</v>
      </c>
      <c r="S191" s="19">
        <v>1.2752477269849725</v>
      </c>
      <c r="T191" s="19">
        <v>7.8734226558858159E-2</v>
      </c>
      <c r="U191" s="19">
        <v>1.3539819535438307</v>
      </c>
      <c r="V191" s="19">
        <v>0</v>
      </c>
      <c r="W191" s="19">
        <v>96.924921427616937</v>
      </c>
      <c r="X191" s="23">
        <v>1129.1879214276169</v>
      </c>
      <c r="Y191" s="22">
        <v>9.8211436332891755E-3</v>
      </c>
      <c r="Z191" s="19">
        <v>1.431963236834217</v>
      </c>
      <c r="AA191" s="19">
        <v>7.8734226558858159E-2</v>
      </c>
      <c r="AB191" s="19">
        <v>1.5106974633930752</v>
      </c>
      <c r="AC191" s="19">
        <v>0</v>
      </c>
      <c r="AD191" s="19">
        <v>90.736945778607378</v>
      </c>
      <c r="AE191" s="23">
        <v>1122.9999457786073</v>
      </c>
      <c r="AF191" s="27">
        <v>1.1575055557914658E-2</v>
      </c>
      <c r="AG191" s="19">
        <v>1.6876908272744866</v>
      </c>
      <c r="AH191" s="19">
        <v>7.8734226558858159E-2</v>
      </c>
      <c r="AI191" s="19">
        <v>1.7664250538333448</v>
      </c>
      <c r="AJ191" s="19">
        <v>0</v>
      </c>
      <c r="AK191" s="19">
        <v>80.656566458572343</v>
      </c>
      <c r="AL191" s="23">
        <v>1112.9195664585723</v>
      </c>
      <c r="AM191" s="22">
        <v>1.4709705891825043E-2</v>
      </c>
      <c r="AN191" s="19">
        <v>2.1543104841910781</v>
      </c>
      <c r="AO191" s="19">
        <v>7.8734226558858159E-2</v>
      </c>
      <c r="AP191" s="19">
        <v>2.2330447107499363</v>
      </c>
      <c r="AQ191" s="19">
        <v>0</v>
      </c>
      <c r="AR191" s="19">
        <v>62.348442838303981</v>
      </c>
      <c r="AS191" s="23">
        <v>1094.6114428383039</v>
      </c>
    </row>
    <row r="192" spans="5:45">
      <c r="E192" s="35" t="str">
        <f t="shared" si="56"/>
        <v/>
      </c>
      <c r="F192" s="19">
        <v>378</v>
      </c>
      <c r="G192" s="19">
        <v>1031.3910000000001</v>
      </c>
      <c r="H192" s="19">
        <v>2</v>
      </c>
      <c r="I192" s="19">
        <v>1.8</v>
      </c>
      <c r="J192" s="36">
        <v>4.0831050228310497</v>
      </c>
      <c r="K192" s="36">
        <v>1.6045588828318709</v>
      </c>
      <c r="L192" s="37">
        <v>2555934.503625989</v>
      </c>
      <c r="M192" s="37" t="s">
        <v>96</v>
      </c>
      <c r="N192" s="23">
        <v>96.442939474073</v>
      </c>
      <c r="O192" s="57">
        <v>90.09824831521405</v>
      </c>
      <c r="P192" s="66">
        <v>11.25</v>
      </c>
      <c r="Q192" s="68">
        <v>992548.40161508287</v>
      </c>
      <c r="R192" s="27">
        <v>8.7463077071963571E-3</v>
      </c>
      <c r="S192" s="19">
        <v>1.2752477269849725</v>
      </c>
      <c r="T192" s="19">
        <v>7.8734226558858159E-2</v>
      </c>
      <c r="U192" s="19">
        <v>1.3539819535438307</v>
      </c>
      <c r="V192" s="19">
        <v>0</v>
      </c>
      <c r="W192" s="19">
        <v>96.442939474073</v>
      </c>
      <c r="X192" s="23">
        <v>1127.8339394740731</v>
      </c>
      <c r="Y192" s="22">
        <v>9.8211436332891755E-3</v>
      </c>
      <c r="Z192" s="19">
        <v>1.431963236834217</v>
      </c>
      <c r="AA192" s="19">
        <v>7.8734226558858159E-2</v>
      </c>
      <c r="AB192" s="19">
        <v>1.5106974633930752</v>
      </c>
      <c r="AC192" s="19">
        <v>0</v>
      </c>
      <c r="AD192" s="19">
        <v>90.09824831521405</v>
      </c>
      <c r="AE192" s="23">
        <v>1121.4892483152141</v>
      </c>
      <c r="AF192" s="27">
        <v>1.1575055557914658E-2</v>
      </c>
      <c r="AG192" s="19">
        <v>1.6876908272744866</v>
      </c>
      <c r="AH192" s="19">
        <v>7.8734226558858159E-2</v>
      </c>
      <c r="AI192" s="19">
        <v>1.7664250538333448</v>
      </c>
      <c r="AJ192" s="19">
        <v>0</v>
      </c>
      <c r="AK192" s="19">
        <v>79.762141404738941</v>
      </c>
      <c r="AL192" s="23">
        <v>1111.153141404739</v>
      </c>
      <c r="AM192" s="22">
        <v>1.4709705891825043E-2</v>
      </c>
      <c r="AN192" s="19">
        <v>2.1543104841910781</v>
      </c>
      <c r="AO192" s="19">
        <v>7.8734226558858159E-2</v>
      </c>
      <c r="AP192" s="19">
        <v>2.2330447107499363</v>
      </c>
      <c r="AQ192" s="19">
        <v>0</v>
      </c>
      <c r="AR192" s="19">
        <v>60.987398127553888</v>
      </c>
      <c r="AS192" s="23">
        <v>1092.378398127554</v>
      </c>
    </row>
    <row r="193" spans="5:45">
      <c r="E193" s="35" t="str">
        <f t="shared" si="56"/>
        <v/>
      </c>
      <c r="F193" s="19">
        <v>380</v>
      </c>
      <c r="G193" s="19">
        <v>1025.7909999999999</v>
      </c>
      <c r="H193" s="19">
        <v>2</v>
      </c>
      <c r="I193" s="19">
        <v>1.8</v>
      </c>
      <c r="J193" s="36">
        <v>4.0831050228310497</v>
      </c>
      <c r="K193" s="36">
        <v>1.6045588828318709</v>
      </c>
      <c r="L193" s="37">
        <v>2555934.503625989</v>
      </c>
      <c r="M193" s="37" t="s">
        <v>96</v>
      </c>
      <c r="N193" s="23">
        <v>100.68895752052936</v>
      </c>
      <c r="O193" s="57">
        <v>94.187550851821015</v>
      </c>
      <c r="P193" s="66">
        <v>11.25</v>
      </c>
      <c r="Q193" s="68">
        <v>992548.40161508287</v>
      </c>
      <c r="R193" s="27">
        <v>8.7463077071963571E-3</v>
      </c>
      <c r="S193" s="19">
        <v>1.2752477269849725</v>
      </c>
      <c r="T193" s="19">
        <v>7.8734226558858159E-2</v>
      </c>
      <c r="U193" s="19">
        <v>1.3539819535438307</v>
      </c>
      <c r="V193" s="19">
        <v>0</v>
      </c>
      <c r="W193" s="19">
        <v>100.68895752052936</v>
      </c>
      <c r="X193" s="23">
        <v>1126.4799575205293</v>
      </c>
      <c r="Y193" s="22">
        <v>9.8211436332891755E-3</v>
      </c>
      <c r="Z193" s="19">
        <v>1.431963236834217</v>
      </c>
      <c r="AA193" s="19">
        <v>7.8734226558858159E-2</v>
      </c>
      <c r="AB193" s="19">
        <v>1.5106974633930752</v>
      </c>
      <c r="AC193" s="19">
        <v>0</v>
      </c>
      <c r="AD193" s="19">
        <v>94.187550851821015</v>
      </c>
      <c r="AE193" s="23">
        <v>1119.978550851821</v>
      </c>
      <c r="AF193" s="27">
        <v>1.1575055557914658E-2</v>
      </c>
      <c r="AG193" s="19">
        <v>1.6876908272744866</v>
      </c>
      <c r="AH193" s="19">
        <v>7.8734226558858159E-2</v>
      </c>
      <c r="AI193" s="19">
        <v>1.7664250538333448</v>
      </c>
      <c r="AJ193" s="19">
        <v>0</v>
      </c>
      <c r="AK193" s="19">
        <v>83.595716350905832</v>
      </c>
      <c r="AL193" s="23">
        <v>1109.3867163509058</v>
      </c>
      <c r="AM193" s="22">
        <v>1.4709705891825043E-2</v>
      </c>
      <c r="AN193" s="19">
        <v>2.1543104841910781</v>
      </c>
      <c r="AO193" s="19">
        <v>7.8734226558858159E-2</v>
      </c>
      <c r="AP193" s="19">
        <v>2.2330447107499363</v>
      </c>
      <c r="AQ193" s="19">
        <v>0</v>
      </c>
      <c r="AR193" s="19">
        <v>64.354353416804088</v>
      </c>
      <c r="AS193" s="23">
        <v>1090.145353416804</v>
      </c>
    </row>
    <row r="194" spans="5:45">
      <c r="E194" s="35" t="str">
        <f t="shared" si="56"/>
        <v/>
      </c>
      <c r="F194" s="19">
        <v>382</v>
      </c>
      <c r="G194" s="19">
        <v>1020.9109999999999</v>
      </c>
      <c r="H194" s="19">
        <v>2</v>
      </c>
      <c r="I194" s="19">
        <v>1.8</v>
      </c>
      <c r="J194" s="36">
        <v>4.0831050228310497</v>
      </c>
      <c r="K194" s="36">
        <v>1.6045588828318709</v>
      </c>
      <c r="L194" s="37">
        <v>2555934.503625989</v>
      </c>
      <c r="M194" s="37" t="s">
        <v>96</v>
      </c>
      <c r="N194" s="23">
        <v>104.21497556698557</v>
      </c>
      <c r="O194" s="57">
        <v>97.556853388427839</v>
      </c>
      <c r="P194" s="66">
        <v>11.25</v>
      </c>
      <c r="Q194" s="68">
        <v>992548.40161508287</v>
      </c>
      <c r="R194" s="27">
        <v>8.7463077071963571E-3</v>
      </c>
      <c r="S194" s="19">
        <v>1.2752477269849725</v>
      </c>
      <c r="T194" s="19">
        <v>7.8734226558858159E-2</v>
      </c>
      <c r="U194" s="19">
        <v>1.3539819535438307</v>
      </c>
      <c r="V194" s="19">
        <v>0</v>
      </c>
      <c r="W194" s="19">
        <v>104.21497556698557</v>
      </c>
      <c r="X194" s="23">
        <v>1125.1259755669855</v>
      </c>
      <c r="Y194" s="22">
        <v>9.8211436332891755E-3</v>
      </c>
      <c r="Z194" s="19">
        <v>1.431963236834217</v>
      </c>
      <c r="AA194" s="19">
        <v>7.8734226558858159E-2</v>
      </c>
      <c r="AB194" s="19">
        <v>1.5106974633930752</v>
      </c>
      <c r="AC194" s="19">
        <v>0</v>
      </c>
      <c r="AD194" s="19">
        <v>97.556853388427839</v>
      </c>
      <c r="AE194" s="23">
        <v>1118.4678533884278</v>
      </c>
      <c r="AF194" s="27">
        <v>1.1575055557914658E-2</v>
      </c>
      <c r="AG194" s="19">
        <v>1.6876908272744866</v>
      </c>
      <c r="AH194" s="19">
        <v>7.8734226558858159E-2</v>
      </c>
      <c r="AI194" s="19">
        <v>1.7664250538333448</v>
      </c>
      <c r="AJ194" s="19">
        <v>0</v>
      </c>
      <c r="AK194" s="19">
        <v>86.709291297072582</v>
      </c>
      <c r="AL194" s="23">
        <v>1107.6202912970725</v>
      </c>
      <c r="AM194" s="22">
        <v>1.4709705891825043E-2</v>
      </c>
      <c r="AN194" s="19">
        <v>2.1543104841910781</v>
      </c>
      <c r="AO194" s="19">
        <v>7.8734226558858159E-2</v>
      </c>
      <c r="AP194" s="19">
        <v>2.2330447107499363</v>
      </c>
      <c r="AQ194" s="19">
        <v>0</v>
      </c>
      <c r="AR194" s="19">
        <v>67.001308706054147</v>
      </c>
      <c r="AS194" s="23">
        <v>1087.9123087060541</v>
      </c>
    </row>
    <row r="195" spans="5:45">
      <c r="E195" s="35" t="str">
        <f t="shared" si="56"/>
        <v/>
      </c>
      <c r="F195" s="19">
        <v>384</v>
      </c>
      <c r="G195" s="19">
        <v>1015.65</v>
      </c>
      <c r="H195" s="19">
        <v>2</v>
      </c>
      <c r="I195" s="19">
        <v>1.8</v>
      </c>
      <c r="J195" s="36">
        <v>4.0831050228310497</v>
      </c>
      <c r="K195" s="36">
        <v>1.6045588828318709</v>
      </c>
      <c r="L195" s="37">
        <v>2555934.503625989</v>
      </c>
      <c r="M195" s="37" t="s">
        <v>96</v>
      </c>
      <c r="N195" s="23">
        <v>108.12199361344176</v>
      </c>
      <c r="O195" s="57">
        <v>101.30715592503464</v>
      </c>
      <c r="P195" s="66">
        <v>11.25</v>
      </c>
      <c r="Q195" s="68">
        <v>992548.40161508287</v>
      </c>
      <c r="R195" s="27">
        <v>8.7463077071963571E-3</v>
      </c>
      <c r="S195" s="19">
        <v>1.2752477269849725</v>
      </c>
      <c r="T195" s="19">
        <v>7.8734226558858159E-2</v>
      </c>
      <c r="U195" s="19">
        <v>1.3539819535438307</v>
      </c>
      <c r="V195" s="19">
        <v>0</v>
      </c>
      <c r="W195" s="19">
        <v>108.12199361344176</v>
      </c>
      <c r="X195" s="23">
        <v>1123.7719936134417</v>
      </c>
      <c r="Y195" s="22">
        <v>9.8211436332891755E-3</v>
      </c>
      <c r="Z195" s="19">
        <v>1.431963236834217</v>
      </c>
      <c r="AA195" s="19">
        <v>7.8734226558858159E-2</v>
      </c>
      <c r="AB195" s="19">
        <v>1.5106974633930752</v>
      </c>
      <c r="AC195" s="19">
        <v>0</v>
      </c>
      <c r="AD195" s="19">
        <v>101.30715592503464</v>
      </c>
      <c r="AE195" s="23">
        <v>1116.9571559250346</v>
      </c>
      <c r="AF195" s="27">
        <v>1.1575055557914658E-2</v>
      </c>
      <c r="AG195" s="19">
        <v>1.6876908272744866</v>
      </c>
      <c r="AH195" s="19">
        <v>7.8734226558858159E-2</v>
      </c>
      <c r="AI195" s="19">
        <v>1.7664250538333448</v>
      </c>
      <c r="AJ195" s="19">
        <v>0</v>
      </c>
      <c r="AK195" s="19">
        <v>90.203866243239304</v>
      </c>
      <c r="AL195" s="23">
        <v>1105.8538662432393</v>
      </c>
      <c r="AM195" s="22">
        <v>1.4709705891825043E-2</v>
      </c>
      <c r="AN195" s="19">
        <v>2.1543104841910781</v>
      </c>
      <c r="AO195" s="19">
        <v>7.8734226558858159E-2</v>
      </c>
      <c r="AP195" s="19">
        <v>2.2330447107499363</v>
      </c>
      <c r="AQ195" s="19">
        <v>0</v>
      </c>
      <c r="AR195" s="19">
        <v>70.029263995304177</v>
      </c>
      <c r="AS195" s="23">
        <v>1085.6792639953042</v>
      </c>
    </row>
    <row r="196" spans="5:45">
      <c r="E196" s="35" t="str">
        <f t="shared" si="56"/>
        <v/>
      </c>
      <c r="F196" s="19">
        <v>386</v>
      </c>
      <c r="G196" s="19">
        <v>1012.139</v>
      </c>
      <c r="H196" s="19">
        <v>2</v>
      </c>
      <c r="I196" s="19">
        <v>1.8</v>
      </c>
      <c r="J196" s="36">
        <v>4.0831050228310497</v>
      </c>
      <c r="K196" s="36">
        <v>1.6045588828318709</v>
      </c>
      <c r="L196" s="37">
        <v>2555934.503625989</v>
      </c>
      <c r="M196" s="37" t="s">
        <v>96</v>
      </c>
      <c r="N196" s="23">
        <v>110.27901165989795</v>
      </c>
      <c r="O196" s="57">
        <v>103.30745846164143</v>
      </c>
      <c r="P196" s="66">
        <v>11.25</v>
      </c>
      <c r="Q196" s="68">
        <v>992548.40161508287</v>
      </c>
      <c r="R196" s="27">
        <v>8.7463077071963571E-3</v>
      </c>
      <c r="S196" s="19">
        <v>1.2752477269849725</v>
      </c>
      <c r="T196" s="19">
        <v>7.8734226558858159E-2</v>
      </c>
      <c r="U196" s="19">
        <v>1.3539819535438307</v>
      </c>
      <c r="V196" s="19">
        <v>0</v>
      </c>
      <c r="W196" s="19">
        <v>110.27901165989795</v>
      </c>
      <c r="X196" s="23">
        <v>1122.418011659898</v>
      </c>
      <c r="Y196" s="22">
        <v>9.8211436332891755E-3</v>
      </c>
      <c r="Z196" s="19">
        <v>1.431963236834217</v>
      </c>
      <c r="AA196" s="19">
        <v>7.8734226558858159E-2</v>
      </c>
      <c r="AB196" s="19">
        <v>1.5106974633930752</v>
      </c>
      <c r="AC196" s="19">
        <v>0</v>
      </c>
      <c r="AD196" s="19">
        <v>103.30745846164143</v>
      </c>
      <c r="AE196" s="23">
        <v>1115.4464584616414</v>
      </c>
      <c r="AF196" s="27">
        <v>1.1575055557914658E-2</v>
      </c>
      <c r="AG196" s="19">
        <v>1.6876908272744866</v>
      </c>
      <c r="AH196" s="19">
        <v>7.8734226558858159E-2</v>
      </c>
      <c r="AI196" s="19">
        <v>1.7664250538333448</v>
      </c>
      <c r="AJ196" s="19">
        <v>0</v>
      </c>
      <c r="AK196" s="19">
        <v>91.948441189406026</v>
      </c>
      <c r="AL196" s="23">
        <v>1104.087441189406</v>
      </c>
      <c r="AM196" s="22">
        <v>1.4709705891825043E-2</v>
      </c>
      <c r="AN196" s="19">
        <v>2.1543104841910781</v>
      </c>
      <c r="AO196" s="19">
        <v>7.8734226558858159E-2</v>
      </c>
      <c r="AP196" s="19">
        <v>2.2330447107499363</v>
      </c>
      <c r="AQ196" s="19">
        <v>0</v>
      </c>
      <c r="AR196" s="19">
        <v>71.307219284554208</v>
      </c>
      <c r="AS196" s="23">
        <v>1083.4462192845542</v>
      </c>
    </row>
    <row r="197" spans="5:45">
      <c r="E197" s="35" t="str">
        <f t="shared" ref="E197:E253" si="57">IF(OR(F197=$B$11,F197=$B$12,F197=$B$13,F197=$B$14,F197=$B$15,F197=$B$16),"Reservoir",IF(OR(F197=$B$4,F197=$B$5,F197=$B$6),"Pump Station",""))</f>
        <v/>
      </c>
      <c r="F197" s="19">
        <v>388</v>
      </c>
      <c r="G197" s="19">
        <v>1010.472</v>
      </c>
      <c r="H197" s="19">
        <v>2</v>
      </c>
      <c r="I197" s="19">
        <v>1.8</v>
      </c>
      <c r="J197" s="36">
        <v>4.0831050228310497</v>
      </c>
      <c r="K197" s="36">
        <v>1.6045588828318709</v>
      </c>
      <c r="L197" s="37">
        <v>2555934.503625989</v>
      </c>
      <c r="M197" s="37" t="s">
        <v>96</v>
      </c>
      <c r="N197" s="23">
        <v>110.5920297063542</v>
      </c>
      <c r="O197" s="57">
        <v>103.46376099824829</v>
      </c>
      <c r="P197" s="66">
        <v>11.25</v>
      </c>
      <c r="Q197" s="68">
        <v>992548.40161508287</v>
      </c>
      <c r="R197" s="27">
        <v>8.7463077071963571E-3</v>
      </c>
      <c r="S197" s="19">
        <v>1.2752477269849725</v>
      </c>
      <c r="T197" s="19">
        <v>7.8734226558858159E-2</v>
      </c>
      <c r="U197" s="19">
        <v>1.3539819535438307</v>
      </c>
      <c r="V197" s="19">
        <v>0</v>
      </c>
      <c r="W197" s="19">
        <v>110.5920297063542</v>
      </c>
      <c r="X197" s="23">
        <v>1121.0640297063542</v>
      </c>
      <c r="Y197" s="22">
        <v>9.8211436332891755E-3</v>
      </c>
      <c r="Z197" s="19">
        <v>1.431963236834217</v>
      </c>
      <c r="AA197" s="19">
        <v>7.8734226558858159E-2</v>
      </c>
      <c r="AB197" s="19">
        <v>1.5106974633930752</v>
      </c>
      <c r="AC197" s="19">
        <v>0</v>
      </c>
      <c r="AD197" s="19">
        <v>103.46376099824829</v>
      </c>
      <c r="AE197" s="23">
        <v>1113.9357609982483</v>
      </c>
      <c r="AF197" s="27">
        <v>1.1575055557914658E-2</v>
      </c>
      <c r="AG197" s="19">
        <v>1.6876908272744866</v>
      </c>
      <c r="AH197" s="19">
        <v>7.8734226558858159E-2</v>
      </c>
      <c r="AI197" s="19">
        <v>1.7664250538333448</v>
      </c>
      <c r="AJ197" s="19">
        <v>0</v>
      </c>
      <c r="AK197" s="19">
        <v>91.849016135572811</v>
      </c>
      <c r="AL197" s="23">
        <v>1102.3210161355728</v>
      </c>
      <c r="AM197" s="22">
        <v>1.4709705891825043E-2</v>
      </c>
      <c r="AN197" s="19">
        <v>2.1543104841910781</v>
      </c>
      <c r="AO197" s="19">
        <v>7.8734226558858159E-2</v>
      </c>
      <c r="AP197" s="19">
        <v>2.2330447107499363</v>
      </c>
      <c r="AQ197" s="19">
        <v>0</v>
      </c>
      <c r="AR197" s="19">
        <v>70.741174573804301</v>
      </c>
      <c r="AS197" s="23">
        <v>1081.2131745738043</v>
      </c>
    </row>
    <row r="198" spans="5:45">
      <c r="E198" s="35" t="str">
        <f t="shared" si="57"/>
        <v/>
      </c>
      <c r="F198" s="19">
        <v>390</v>
      </c>
      <c r="G198" s="19">
        <v>1005.401</v>
      </c>
      <c r="H198" s="19">
        <v>2</v>
      </c>
      <c r="I198" s="19">
        <v>1.8</v>
      </c>
      <c r="J198" s="36">
        <v>4.0831050228310497</v>
      </c>
      <c r="K198" s="36">
        <v>1.6045588828318709</v>
      </c>
      <c r="L198" s="37">
        <v>2555934.503625989</v>
      </c>
      <c r="M198" s="37" t="s">
        <v>96</v>
      </c>
      <c r="N198" s="23">
        <v>114.30904775281044</v>
      </c>
      <c r="O198" s="57">
        <v>107.02406353485515</v>
      </c>
      <c r="P198" s="66">
        <v>11.25</v>
      </c>
      <c r="Q198" s="68">
        <v>992548.40161508287</v>
      </c>
      <c r="R198" s="27">
        <v>8.7463077071963571E-3</v>
      </c>
      <c r="S198" s="19">
        <v>1.2752477269849725</v>
      </c>
      <c r="T198" s="19">
        <v>7.8734226558858159E-2</v>
      </c>
      <c r="U198" s="19">
        <v>1.3539819535438307</v>
      </c>
      <c r="V198" s="19">
        <v>0</v>
      </c>
      <c r="W198" s="19">
        <v>114.30904775281044</v>
      </c>
      <c r="X198" s="23">
        <v>1119.7100477528104</v>
      </c>
      <c r="Y198" s="22">
        <v>9.8211436332891755E-3</v>
      </c>
      <c r="Z198" s="19">
        <v>1.431963236834217</v>
      </c>
      <c r="AA198" s="19">
        <v>7.8734226558858159E-2</v>
      </c>
      <c r="AB198" s="19">
        <v>1.5106974633930752</v>
      </c>
      <c r="AC198" s="19">
        <v>0</v>
      </c>
      <c r="AD198" s="19">
        <v>107.02406353485515</v>
      </c>
      <c r="AE198" s="23">
        <v>1112.4250635348551</v>
      </c>
      <c r="AF198" s="27">
        <v>1.1575055557914658E-2</v>
      </c>
      <c r="AG198" s="19">
        <v>1.6876908272744866</v>
      </c>
      <c r="AH198" s="19">
        <v>7.8734226558858159E-2</v>
      </c>
      <c r="AI198" s="19">
        <v>1.7664250538333448</v>
      </c>
      <c r="AJ198" s="19">
        <v>0</v>
      </c>
      <c r="AK198" s="19">
        <v>95.153591081739592</v>
      </c>
      <c r="AL198" s="23">
        <v>1100.5545910817395</v>
      </c>
      <c r="AM198" s="22">
        <v>1.4709705891825043E-2</v>
      </c>
      <c r="AN198" s="19">
        <v>2.1543104841910781</v>
      </c>
      <c r="AO198" s="19">
        <v>7.8734226558858159E-2</v>
      </c>
      <c r="AP198" s="19">
        <v>2.2330447107499363</v>
      </c>
      <c r="AQ198" s="19">
        <v>0</v>
      </c>
      <c r="AR198" s="19">
        <v>73.579129863054391</v>
      </c>
      <c r="AS198" s="23">
        <v>1078.9801298630543</v>
      </c>
    </row>
    <row r="199" spans="5:45">
      <c r="E199" s="35" t="str">
        <f t="shared" si="57"/>
        <v/>
      </c>
      <c r="F199" s="19">
        <v>392</v>
      </c>
      <c r="G199" s="19">
        <v>996.66600000000005</v>
      </c>
      <c r="H199" s="19">
        <v>2</v>
      </c>
      <c r="I199" s="19">
        <v>1.8</v>
      </c>
      <c r="J199" s="36">
        <v>4.0831050228310497</v>
      </c>
      <c r="K199" s="36">
        <v>1.6045588828318709</v>
      </c>
      <c r="L199" s="37">
        <v>2555934.503625989</v>
      </c>
      <c r="M199" s="37" t="s">
        <v>96</v>
      </c>
      <c r="N199" s="23">
        <v>121.69006579926656</v>
      </c>
      <c r="O199" s="57">
        <v>114.24836607146187</v>
      </c>
      <c r="P199" s="66">
        <v>11.25</v>
      </c>
      <c r="Q199" s="68">
        <v>992548.40161508287</v>
      </c>
      <c r="R199" s="27">
        <v>8.7463077071963571E-3</v>
      </c>
      <c r="S199" s="19">
        <v>1.2752477269849725</v>
      </c>
      <c r="T199" s="19">
        <v>7.8734226558858159E-2</v>
      </c>
      <c r="U199" s="19">
        <v>1.3539819535438307</v>
      </c>
      <c r="V199" s="19">
        <v>0</v>
      </c>
      <c r="W199" s="19">
        <v>121.69006579926656</v>
      </c>
      <c r="X199" s="23">
        <v>1118.3560657992666</v>
      </c>
      <c r="Y199" s="22">
        <v>9.8211436332891755E-3</v>
      </c>
      <c r="Z199" s="19">
        <v>1.431963236834217</v>
      </c>
      <c r="AA199" s="19">
        <v>7.8734226558858159E-2</v>
      </c>
      <c r="AB199" s="19">
        <v>1.5106974633930752</v>
      </c>
      <c r="AC199" s="19">
        <v>0</v>
      </c>
      <c r="AD199" s="19">
        <v>114.24836607146187</v>
      </c>
      <c r="AE199" s="23">
        <v>1110.9143660714619</v>
      </c>
      <c r="AF199" s="27">
        <v>1.1575055557914658E-2</v>
      </c>
      <c r="AG199" s="19">
        <v>1.6876908272744866</v>
      </c>
      <c r="AH199" s="19">
        <v>7.8734226558858159E-2</v>
      </c>
      <c r="AI199" s="19">
        <v>1.7664250538333448</v>
      </c>
      <c r="AJ199" s="19">
        <v>0</v>
      </c>
      <c r="AK199" s="19">
        <v>102.12216602790625</v>
      </c>
      <c r="AL199" s="23">
        <v>1098.7881660279063</v>
      </c>
      <c r="AM199" s="22">
        <v>1.4709705891825043E-2</v>
      </c>
      <c r="AN199" s="19">
        <v>2.1543104841910781</v>
      </c>
      <c r="AO199" s="19">
        <v>7.8734226558858159E-2</v>
      </c>
      <c r="AP199" s="19">
        <v>2.2330447107499363</v>
      </c>
      <c r="AQ199" s="19">
        <v>0</v>
      </c>
      <c r="AR199" s="19">
        <v>80.081085152304354</v>
      </c>
      <c r="AS199" s="23">
        <v>1076.7470851523044</v>
      </c>
    </row>
    <row r="200" spans="5:45">
      <c r="E200" s="35" t="str">
        <f t="shared" si="57"/>
        <v/>
      </c>
      <c r="F200" s="19">
        <v>394</v>
      </c>
      <c r="G200" s="19">
        <v>991.35</v>
      </c>
      <c r="H200" s="19">
        <v>2</v>
      </c>
      <c r="I200" s="19">
        <v>1.8</v>
      </c>
      <c r="J200" s="36">
        <v>4.0831050228310497</v>
      </c>
      <c r="K200" s="36">
        <v>1.6045588828318709</v>
      </c>
      <c r="L200" s="37">
        <v>2555934.503625989</v>
      </c>
      <c r="M200" s="37" t="s">
        <v>96</v>
      </c>
      <c r="N200" s="23">
        <v>125.65208384572281</v>
      </c>
      <c r="O200" s="57">
        <v>118.05366860806873</v>
      </c>
      <c r="P200" s="66">
        <v>11.25</v>
      </c>
      <c r="Q200" s="68">
        <v>992548.40161508287</v>
      </c>
      <c r="R200" s="27">
        <v>8.7463077071963571E-3</v>
      </c>
      <c r="S200" s="19">
        <v>1.2752477269849725</v>
      </c>
      <c r="T200" s="19">
        <v>7.8734226558858159E-2</v>
      </c>
      <c r="U200" s="19">
        <v>1.3539819535438307</v>
      </c>
      <c r="V200" s="19">
        <v>0</v>
      </c>
      <c r="W200" s="19">
        <v>125.65208384572281</v>
      </c>
      <c r="X200" s="23">
        <v>1117.0020838457228</v>
      </c>
      <c r="Y200" s="22">
        <v>9.8211436332891755E-3</v>
      </c>
      <c r="Z200" s="19">
        <v>1.431963236834217</v>
      </c>
      <c r="AA200" s="19">
        <v>7.8734226558858159E-2</v>
      </c>
      <c r="AB200" s="19">
        <v>1.5106974633930752</v>
      </c>
      <c r="AC200" s="19">
        <v>0</v>
      </c>
      <c r="AD200" s="19">
        <v>118.05366860806873</v>
      </c>
      <c r="AE200" s="23">
        <v>1109.4036686080688</v>
      </c>
      <c r="AF200" s="27">
        <v>1.1575055557914658E-2</v>
      </c>
      <c r="AG200" s="19">
        <v>1.6876908272744866</v>
      </c>
      <c r="AH200" s="19">
        <v>7.8734226558858159E-2</v>
      </c>
      <c r="AI200" s="19">
        <v>1.7664250538333448</v>
      </c>
      <c r="AJ200" s="19">
        <v>0</v>
      </c>
      <c r="AK200" s="19">
        <v>105.67174097407303</v>
      </c>
      <c r="AL200" s="23">
        <v>1097.0217409740731</v>
      </c>
      <c r="AM200" s="22">
        <v>1.4709705891825043E-2</v>
      </c>
      <c r="AN200" s="19">
        <v>2.1543104841910781</v>
      </c>
      <c r="AO200" s="19">
        <v>7.8734226558858159E-2</v>
      </c>
      <c r="AP200" s="19">
        <v>2.2330447107499363</v>
      </c>
      <c r="AQ200" s="19">
        <v>0</v>
      </c>
      <c r="AR200" s="19">
        <v>83.164040441554448</v>
      </c>
      <c r="AS200" s="23">
        <v>1074.5140404415545</v>
      </c>
    </row>
    <row r="201" spans="5:45">
      <c r="E201" s="35" t="str">
        <f t="shared" si="57"/>
        <v/>
      </c>
      <c r="F201" s="19">
        <v>396</v>
      </c>
      <c r="G201" s="19">
        <v>990.48599999999999</v>
      </c>
      <c r="H201" s="19">
        <v>2</v>
      </c>
      <c r="I201" s="19">
        <v>1.8</v>
      </c>
      <c r="J201" s="36">
        <v>4.0831050228310497</v>
      </c>
      <c r="K201" s="36">
        <v>1.6045588828318709</v>
      </c>
      <c r="L201" s="37">
        <v>2555934.503625989</v>
      </c>
      <c r="M201" s="37" t="s">
        <v>96</v>
      </c>
      <c r="N201" s="23">
        <v>125.16210189217907</v>
      </c>
      <c r="O201" s="57">
        <v>117.40697114467559</v>
      </c>
      <c r="P201" s="66">
        <v>11.25</v>
      </c>
      <c r="Q201" s="68">
        <v>992548.40161508287</v>
      </c>
      <c r="R201" s="27">
        <v>8.7463077071963571E-3</v>
      </c>
      <c r="S201" s="19">
        <v>1.2752477269849725</v>
      </c>
      <c r="T201" s="19">
        <v>7.8734226558858159E-2</v>
      </c>
      <c r="U201" s="19">
        <v>1.3539819535438307</v>
      </c>
      <c r="V201" s="19">
        <v>0</v>
      </c>
      <c r="W201" s="19">
        <v>125.16210189217907</v>
      </c>
      <c r="X201" s="23">
        <v>1115.6481018921791</v>
      </c>
      <c r="Y201" s="22">
        <v>9.8211436332891755E-3</v>
      </c>
      <c r="Z201" s="19">
        <v>1.431963236834217</v>
      </c>
      <c r="AA201" s="19">
        <v>7.8734226558858159E-2</v>
      </c>
      <c r="AB201" s="19">
        <v>1.5106974633930752</v>
      </c>
      <c r="AC201" s="19">
        <v>0</v>
      </c>
      <c r="AD201" s="19">
        <v>117.40697114467559</v>
      </c>
      <c r="AE201" s="23">
        <v>1107.8929711446756</v>
      </c>
      <c r="AF201" s="27">
        <v>1.1575055557914658E-2</v>
      </c>
      <c r="AG201" s="19">
        <v>1.6876908272744866</v>
      </c>
      <c r="AH201" s="19">
        <v>7.8734226558858159E-2</v>
      </c>
      <c r="AI201" s="19">
        <v>1.7664250538333448</v>
      </c>
      <c r="AJ201" s="19">
        <v>0</v>
      </c>
      <c r="AK201" s="19">
        <v>104.76931592023982</v>
      </c>
      <c r="AL201" s="23">
        <v>1095.2553159202398</v>
      </c>
      <c r="AM201" s="22">
        <v>1.4709705891825043E-2</v>
      </c>
      <c r="AN201" s="19">
        <v>2.1543104841910781</v>
      </c>
      <c r="AO201" s="19">
        <v>7.8734226558858159E-2</v>
      </c>
      <c r="AP201" s="19">
        <v>2.2330447107499363</v>
      </c>
      <c r="AQ201" s="19">
        <v>0</v>
      </c>
      <c r="AR201" s="19">
        <v>81.794995730804544</v>
      </c>
      <c r="AS201" s="23">
        <v>1072.2809957308045</v>
      </c>
    </row>
    <row r="202" spans="5:45">
      <c r="E202" s="35" t="str">
        <f t="shared" si="57"/>
        <v/>
      </c>
      <c r="F202" s="19">
        <v>398</v>
      </c>
      <c r="G202" s="19">
        <v>992.76099999999997</v>
      </c>
      <c r="H202" s="19">
        <v>2</v>
      </c>
      <c r="I202" s="19">
        <v>1.8</v>
      </c>
      <c r="J202" s="36">
        <v>4.0831050228310497</v>
      </c>
      <c r="K202" s="36">
        <v>1.6045588828318709</v>
      </c>
      <c r="L202" s="37">
        <v>2555934.503625989</v>
      </c>
      <c r="M202" s="37" t="s">
        <v>96</v>
      </c>
      <c r="N202" s="23">
        <v>121.53311993863531</v>
      </c>
      <c r="O202" s="57">
        <v>113.62127368128245</v>
      </c>
      <c r="P202" s="66">
        <v>11.25</v>
      </c>
      <c r="Q202" s="68">
        <v>992548.40161508287</v>
      </c>
      <c r="R202" s="27">
        <v>8.7463077071963571E-3</v>
      </c>
      <c r="S202" s="19">
        <v>1.2752477269849725</v>
      </c>
      <c r="T202" s="19">
        <v>7.8734226558858159E-2</v>
      </c>
      <c r="U202" s="19">
        <v>1.3539819535438307</v>
      </c>
      <c r="V202" s="19">
        <v>0</v>
      </c>
      <c r="W202" s="19">
        <v>121.53311993863531</v>
      </c>
      <c r="X202" s="23">
        <v>1114.2941199386353</v>
      </c>
      <c r="Y202" s="22">
        <v>9.8211436332891755E-3</v>
      </c>
      <c r="Z202" s="19">
        <v>1.431963236834217</v>
      </c>
      <c r="AA202" s="19">
        <v>7.8734226558858159E-2</v>
      </c>
      <c r="AB202" s="19">
        <v>1.5106974633930752</v>
      </c>
      <c r="AC202" s="19">
        <v>0</v>
      </c>
      <c r="AD202" s="19">
        <v>113.62127368128245</v>
      </c>
      <c r="AE202" s="23">
        <v>1106.3822736812824</v>
      </c>
      <c r="AF202" s="27">
        <v>1.1575055557914658E-2</v>
      </c>
      <c r="AG202" s="19">
        <v>1.6876908272744866</v>
      </c>
      <c r="AH202" s="19">
        <v>7.8734226558858159E-2</v>
      </c>
      <c r="AI202" s="19">
        <v>1.7664250538333448</v>
      </c>
      <c r="AJ202" s="19">
        <v>0</v>
      </c>
      <c r="AK202" s="19">
        <v>100.7278908664066</v>
      </c>
      <c r="AL202" s="23">
        <v>1093.4888908664066</v>
      </c>
      <c r="AM202" s="22">
        <v>1.4709705891825043E-2</v>
      </c>
      <c r="AN202" s="19">
        <v>2.1543104841910781</v>
      </c>
      <c r="AO202" s="19">
        <v>7.8734226558858159E-2</v>
      </c>
      <c r="AP202" s="19">
        <v>2.2330447107499363</v>
      </c>
      <c r="AQ202" s="19">
        <v>0</v>
      </c>
      <c r="AR202" s="19">
        <v>77.28695102005463</v>
      </c>
      <c r="AS202" s="23">
        <v>1070.0479510200546</v>
      </c>
    </row>
    <row r="203" spans="5:45">
      <c r="E203" s="35" t="str">
        <f t="shared" si="57"/>
        <v/>
      </c>
      <c r="F203" s="19">
        <v>400</v>
      </c>
      <c r="G203" s="19">
        <v>999.077</v>
      </c>
      <c r="H203" s="19">
        <v>2</v>
      </c>
      <c r="I203" s="19">
        <v>1.8</v>
      </c>
      <c r="J203" s="36">
        <v>4.0831050228310497</v>
      </c>
      <c r="K203" s="36">
        <v>1.6045588828318709</v>
      </c>
      <c r="L203" s="37">
        <v>2555934.503625989</v>
      </c>
      <c r="M203" s="37" t="s">
        <v>96</v>
      </c>
      <c r="N203" s="23">
        <v>113.8631379850915</v>
      </c>
      <c r="O203" s="57">
        <v>105.79457621788924</v>
      </c>
      <c r="P203" s="66">
        <v>11.25</v>
      </c>
      <c r="Q203" s="68">
        <v>992548.40161508287</v>
      </c>
      <c r="R203" s="27">
        <v>8.7463077071963571E-3</v>
      </c>
      <c r="S203" s="19">
        <v>1.2752477269849725</v>
      </c>
      <c r="T203" s="19">
        <v>7.8734226558858159E-2</v>
      </c>
      <c r="U203" s="19">
        <v>1.3539819535438307</v>
      </c>
      <c r="V203" s="19">
        <v>0</v>
      </c>
      <c r="W203" s="19">
        <v>113.8631379850915</v>
      </c>
      <c r="X203" s="23">
        <v>1112.9401379850915</v>
      </c>
      <c r="Y203" s="22">
        <v>9.8211436332891755E-3</v>
      </c>
      <c r="Z203" s="19">
        <v>1.431963236834217</v>
      </c>
      <c r="AA203" s="19">
        <v>7.8734226558858159E-2</v>
      </c>
      <c r="AB203" s="19">
        <v>1.5106974633930752</v>
      </c>
      <c r="AC203" s="19">
        <v>0</v>
      </c>
      <c r="AD203" s="19">
        <v>105.79457621788924</v>
      </c>
      <c r="AE203" s="23">
        <v>1104.8715762178892</v>
      </c>
      <c r="AF203" s="27">
        <v>1.1575055557914658E-2</v>
      </c>
      <c r="AG203" s="19">
        <v>1.6876908272744866</v>
      </c>
      <c r="AH203" s="19">
        <v>7.8734226558858159E-2</v>
      </c>
      <c r="AI203" s="19">
        <v>1.7664250538333448</v>
      </c>
      <c r="AJ203" s="19">
        <v>0</v>
      </c>
      <c r="AK203" s="19">
        <v>92.64546581257332</v>
      </c>
      <c r="AL203" s="23">
        <v>1091.7224658125733</v>
      </c>
      <c r="AM203" s="22">
        <v>1.4709705891825043E-2</v>
      </c>
      <c r="AN203" s="19">
        <v>2.1543104841910781</v>
      </c>
      <c r="AO203" s="19">
        <v>7.8734226558858159E-2</v>
      </c>
      <c r="AP203" s="19">
        <v>2.2330447107499363</v>
      </c>
      <c r="AQ203" s="19">
        <v>0</v>
      </c>
      <c r="AR203" s="19">
        <v>68.737906309304662</v>
      </c>
      <c r="AS203" s="23">
        <v>1067.8149063093047</v>
      </c>
    </row>
    <row r="204" spans="5:45">
      <c r="E204" s="35" t="str">
        <f t="shared" si="57"/>
        <v/>
      </c>
      <c r="F204" s="19">
        <v>402</v>
      </c>
      <c r="G204" s="19">
        <v>1001.8</v>
      </c>
      <c r="H204" s="19">
        <v>2</v>
      </c>
      <c r="I204" s="19">
        <v>1.8</v>
      </c>
      <c r="J204" s="36">
        <v>4.0831050228310497</v>
      </c>
      <c r="K204" s="36">
        <v>1.6045588828318709</v>
      </c>
      <c r="L204" s="37">
        <v>2555934.503625989</v>
      </c>
      <c r="M204" s="37" t="s">
        <v>96</v>
      </c>
      <c r="N204" s="23">
        <v>109.78615603154776</v>
      </c>
      <c r="O204" s="57">
        <v>101.56087875449612</v>
      </c>
      <c r="P204" s="66">
        <v>11.25</v>
      </c>
      <c r="Q204" s="68">
        <v>992548.40161508287</v>
      </c>
      <c r="R204" s="27">
        <v>8.7463077071963571E-3</v>
      </c>
      <c r="S204" s="19">
        <v>1.2752477269849725</v>
      </c>
      <c r="T204" s="19">
        <v>7.8734226558858159E-2</v>
      </c>
      <c r="U204" s="19">
        <v>1.3539819535438307</v>
      </c>
      <c r="V204" s="19">
        <v>0</v>
      </c>
      <c r="W204" s="19">
        <v>109.78615603154776</v>
      </c>
      <c r="X204" s="23">
        <v>1111.5861560315477</v>
      </c>
      <c r="Y204" s="22">
        <v>9.8211436332891755E-3</v>
      </c>
      <c r="Z204" s="19">
        <v>1.431963236834217</v>
      </c>
      <c r="AA204" s="19">
        <v>7.8734226558858159E-2</v>
      </c>
      <c r="AB204" s="19">
        <v>1.5106974633930752</v>
      </c>
      <c r="AC204" s="19">
        <v>0</v>
      </c>
      <c r="AD204" s="19">
        <v>101.56087875449612</v>
      </c>
      <c r="AE204" s="23">
        <v>1103.3608787544961</v>
      </c>
      <c r="AF204" s="27">
        <v>1.1575055557914658E-2</v>
      </c>
      <c r="AG204" s="19">
        <v>1.6876908272744866</v>
      </c>
      <c r="AH204" s="19">
        <v>7.8734226558858159E-2</v>
      </c>
      <c r="AI204" s="19">
        <v>1.7664250538333448</v>
      </c>
      <c r="AJ204" s="19">
        <v>0</v>
      </c>
      <c r="AK204" s="19">
        <v>88.156040758740119</v>
      </c>
      <c r="AL204" s="23">
        <v>1089.9560407587401</v>
      </c>
      <c r="AM204" s="22">
        <v>1.4709705891825043E-2</v>
      </c>
      <c r="AN204" s="19">
        <v>2.1543104841910781</v>
      </c>
      <c r="AO204" s="19">
        <v>7.8734226558858159E-2</v>
      </c>
      <c r="AP204" s="19">
        <v>2.2330447107499363</v>
      </c>
      <c r="AQ204" s="19">
        <v>0</v>
      </c>
      <c r="AR204" s="19">
        <v>63.781861598554769</v>
      </c>
      <c r="AS204" s="23">
        <v>1065.5818615985547</v>
      </c>
    </row>
    <row r="205" spans="5:45">
      <c r="E205" s="35" t="str">
        <f t="shared" si="57"/>
        <v/>
      </c>
      <c r="F205" s="19">
        <v>404</v>
      </c>
      <c r="G205" s="19">
        <v>1002.224</v>
      </c>
      <c r="H205" s="19">
        <v>2</v>
      </c>
      <c r="I205" s="19">
        <v>1.8</v>
      </c>
      <c r="J205" s="36">
        <v>4.0831050228310497</v>
      </c>
      <c r="K205" s="36">
        <v>1.6045588828318709</v>
      </c>
      <c r="L205" s="37">
        <v>2555934.503625989</v>
      </c>
      <c r="M205" s="37" t="s">
        <v>96</v>
      </c>
      <c r="N205" s="23">
        <v>108.00817407800389</v>
      </c>
      <c r="O205" s="57">
        <v>99.626181291102853</v>
      </c>
      <c r="P205" s="66">
        <v>11.25</v>
      </c>
      <c r="Q205" s="68">
        <v>992548.40161508287</v>
      </c>
      <c r="R205" s="27">
        <v>8.7463077071963571E-3</v>
      </c>
      <c r="S205" s="19">
        <v>1.2752477269849725</v>
      </c>
      <c r="T205" s="19">
        <v>7.8734226558858159E-2</v>
      </c>
      <c r="U205" s="19">
        <v>1.3539819535438307</v>
      </c>
      <c r="V205" s="19">
        <v>0</v>
      </c>
      <c r="W205" s="19">
        <v>108.00817407800389</v>
      </c>
      <c r="X205" s="23">
        <v>1110.2321740780039</v>
      </c>
      <c r="Y205" s="22">
        <v>9.8211436332891755E-3</v>
      </c>
      <c r="Z205" s="19">
        <v>1.431963236834217</v>
      </c>
      <c r="AA205" s="19">
        <v>7.8734226558858159E-2</v>
      </c>
      <c r="AB205" s="19">
        <v>1.5106974633930752</v>
      </c>
      <c r="AC205" s="19">
        <v>0</v>
      </c>
      <c r="AD205" s="19">
        <v>99.626181291102853</v>
      </c>
      <c r="AE205" s="23">
        <v>1101.8501812911029</v>
      </c>
      <c r="AF205" s="27">
        <v>1.1575055557914658E-2</v>
      </c>
      <c r="AG205" s="19">
        <v>1.6876908272744866</v>
      </c>
      <c r="AH205" s="19">
        <v>7.8734226558858159E-2</v>
      </c>
      <c r="AI205" s="19">
        <v>1.7664250538333448</v>
      </c>
      <c r="AJ205" s="19">
        <v>0</v>
      </c>
      <c r="AK205" s="19">
        <v>85.965615704906782</v>
      </c>
      <c r="AL205" s="23">
        <v>1088.1896157049068</v>
      </c>
      <c r="AM205" s="22">
        <v>1.4709705891825043E-2</v>
      </c>
      <c r="AN205" s="19">
        <v>2.1543104841910781</v>
      </c>
      <c r="AO205" s="19">
        <v>7.8734226558858159E-2</v>
      </c>
      <c r="AP205" s="19">
        <v>2.2330447107499363</v>
      </c>
      <c r="AQ205" s="19">
        <v>0</v>
      </c>
      <c r="AR205" s="19">
        <v>61.124816887804741</v>
      </c>
      <c r="AS205" s="23">
        <v>1063.3488168878048</v>
      </c>
    </row>
    <row r="206" spans="5:45">
      <c r="E206" s="35" t="str">
        <f t="shared" si="57"/>
        <v/>
      </c>
      <c r="F206" s="19">
        <v>406</v>
      </c>
      <c r="G206" s="19">
        <v>1002.003</v>
      </c>
      <c r="H206" s="19">
        <v>2</v>
      </c>
      <c r="I206" s="19">
        <v>1.8</v>
      </c>
      <c r="J206" s="36">
        <v>4.0831050228310497</v>
      </c>
      <c r="K206" s="36">
        <v>1.6045588828318709</v>
      </c>
      <c r="L206" s="37">
        <v>2555934.503625989</v>
      </c>
      <c r="M206" s="37" t="s">
        <v>96</v>
      </c>
      <c r="N206" s="23">
        <v>106.87519212446011</v>
      </c>
      <c r="O206" s="57">
        <v>98.336483827709685</v>
      </c>
      <c r="P206" s="66">
        <v>11.25</v>
      </c>
      <c r="Q206" s="68">
        <v>992548.40161508287</v>
      </c>
      <c r="R206" s="27">
        <v>8.7463077071963571E-3</v>
      </c>
      <c r="S206" s="19">
        <v>1.2752477269849725</v>
      </c>
      <c r="T206" s="19">
        <v>7.8734226558858159E-2</v>
      </c>
      <c r="U206" s="19">
        <v>1.3539819535438307</v>
      </c>
      <c r="V206" s="19">
        <v>0</v>
      </c>
      <c r="W206" s="19">
        <v>106.87519212446011</v>
      </c>
      <c r="X206" s="23">
        <v>1108.8781921244602</v>
      </c>
      <c r="Y206" s="22">
        <v>9.8211436332891755E-3</v>
      </c>
      <c r="Z206" s="19">
        <v>1.431963236834217</v>
      </c>
      <c r="AA206" s="19">
        <v>7.8734226558858159E-2</v>
      </c>
      <c r="AB206" s="19">
        <v>1.5106974633930752</v>
      </c>
      <c r="AC206" s="19">
        <v>0</v>
      </c>
      <c r="AD206" s="19">
        <v>98.336483827709685</v>
      </c>
      <c r="AE206" s="23">
        <v>1100.3394838277097</v>
      </c>
      <c r="AF206" s="27">
        <v>1.1575055557914658E-2</v>
      </c>
      <c r="AG206" s="19">
        <v>1.6876908272744866</v>
      </c>
      <c r="AH206" s="19">
        <v>7.8734226558858159E-2</v>
      </c>
      <c r="AI206" s="19">
        <v>1.7664250538333448</v>
      </c>
      <c r="AJ206" s="19">
        <v>0</v>
      </c>
      <c r="AK206" s="19">
        <v>84.42019065107354</v>
      </c>
      <c r="AL206" s="23">
        <v>1086.4231906510736</v>
      </c>
      <c r="AM206" s="22">
        <v>1.4709705891825043E-2</v>
      </c>
      <c r="AN206" s="19">
        <v>2.1543104841910781</v>
      </c>
      <c r="AO206" s="19">
        <v>7.8734226558858159E-2</v>
      </c>
      <c r="AP206" s="19">
        <v>2.2330447107499363</v>
      </c>
      <c r="AQ206" s="19">
        <v>0</v>
      </c>
      <c r="AR206" s="19">
        <v>59.112772177054808</v>
      </c>
      <c r="AS206" s="23">
        <v>1061.1157721770549</v>
      </c>
    </row>
    <row r="207" spans="5:45">
      <c r="E207" s="35" t="str">
        <f t="shared" si="57"/>
        <v/>
      </c>
      <c r="F207" s="19">
        <v>408</v>
      </c>
      <c r="G207" s="19">
        <v>1003.596</v>
      </c>
      <c r="H207" s="19">
        <v>2</v>
      </c>
      <c r="I207" s="19">
        <v>1.8</v>
      </c>
      <c r="J207" s="36">
        <v>4.0831050228310497</v>
      </c>
      <c r="K207" s="36">
        <v>1.6045588828318709</v>
      </c>
      <c r="L207" s="37">
        <v>2555934.503625989</v>
      </c>
      <c r="M207" s="37" t="s">
        <v>96</v>
      </c>
      <c r="N207" s="23">
        <v>103.92821017091637</v>
      </c>
      <c r="O207" s="57">
        <v>95.232786364316553</v>
      </c>
      <c r="P207" s="66">
        <v>11.25</v>
      </c>
      <c r="Q207" s="68">
        <v>992548.40161508287</v>
      </c>
      <c r="R207" s="27">
        <v>8.7463077071963571E-3</v>
      </c>
      <c r="S207" s="19">
        <v>1.2752477269849725</v>
      </c>
      <c r="T207" s="19">
        <v>7.8734226558858159E-2</v>
      </c>
      <c r="U207" s="19">
        <v>1.3539819535438307</v>
      </c>
      <c r="V207" s="19">
        <v>0</v>
      </c>
      <c r="W207" s="19">
        <v>103.92821017091637</v>
      </c>
      <c r="X207" s="23">
        <v>1107.5242101709164</v>
      </c>
      <c r="Y207" s="22">
        <v>9.8211436332891755E-3</v>
      </c>
      <c r="Z207" s="19">
        <v>1.431963236834217</v>
      </c>
      <c r="AA207" s="19">
        <v>7.8734226558858159E-2</v>
      </c>
      <c r="AB207" s="19">
        <v>1.5106974633930752</v>
      </c>
      <c r="AC207" s="19">
        <v>0</v>
      </c>
      <c r="AD207" s="19">
        <v>95.232786364316553</v>
      </c>
      <c r="AE207" s="23">
        <v>1098.8287863643166</v>
      </c>
      <c r="AF207" s="27">
        <v>1.1575055557914658E-2</v>
      </c>
      <c r="AG207" s="19">
        <v>1.6876908272744866</v>
      </c>
      <c r="AH207" s="19">
        <v>7.8734226558858159E-2</v>
      </c>
      <c r="AI207" s="19">
        <v>1.7664250538333448</v>
      </c>
      <c r="AJ207" s="19">
        <v>0</v>
      </c>
      <c r="AK207" s="19">
        <v>81.060765597240334</v>
      </c>
      <c r="AL207" s="23">
        <v>1084.6567655972403</v>
      </c>
      <c r="AM207" s="22">
        <v>1.4709705891825043E-2</v>
      </c>
      <c r="AN207" s="19">
        <v>2.1543104841910781</v>
      </c>
      <c r="AO207" s="19">
        <v>7.8734226558858159E-2</v>
      </c>
      <c r="AP207" s="19">
        <v>2.2330447107499363</v>
      </c>
      <c r="AQ207" s="19">
        <v>0</v>
      </c>
      <c r="AR207" s="19">
        <v>55.28672746630491</v>
      </c>
      <c r="AS207" s="23">
        <v>1058.8827274663049</v>
      </c>
    </row>
    <row r="208" spans="5:45">
      <c r="E208" s="35" t="str">
        <f t="shared" si="57"/>
        <v/>
      </c>
      <c r="F208" s="19">
        <v>410</v>
      </c>
      <c r="G208" s="19">
        <v>994.11099999999999</v>
      </c>
      <c r="H208" s="19">
        <v>2</v>
      </c>
      <c r="I208" s="19">
        <v>1.8</v>
      </c>
      <c r="J208" s="36">
        <v>4.0831050228310497</v>
      </c>
      <c r="K208" s="36">
        <v>1.6045588828318709</v>
      </c>
      <c r="L208" s="37">
        <v>2555934.503625989</v>
      </c>
      <c r="M208" s="37" t="s">
        <v>96</v>
      </c>
      <c r="N208" s="23">
        <v>112.05922821737261</v>
      </c>
      <c r="O208" s="57">
        <v>103.2070889009234</v>
      </c>
      <c r="P208" s="66">
        <v>11.25</v>
      </c>
      <c r="Q208" s="68">
        <v>992548.40161508287</v>
      </c>
      <c r="R208" s="27">
        <v>8.7463077071963571E-3</v>
      </c>
      <c r="S208" s="19">
        <v>1.2752477269849725</v>
      </c>
      <c r="T208" s="19">
        <v>7.8734226558858159E-2</v>
      </c>
      <c r="U208" s="19">
        <v>1.3539819535438307</v>
      </c>
      <c r="V208" s="19">
        <v>0</v>
      </c>
      <c r="W208" s="19">
        <v>112.05922821737261</v>
      </c>
      <c r="X208" s="23">
        <v>1106.1702282173726</v>
      </c>
      <c r="Y208" s="22">
        <v>9.8211436332891755E-3</v>
      </c>
      <c r="Z208" s="19">
        <v>1.431963236834217</v>
      </c>
      <c r="AA208" s="19">
        <v>7.8734226558858159E-2</v>
      </c>
      <c r="AB208" s="19">
        <v>1.5106974633930752</v>
      </c>
      <c r="AC208" s="19">
        <v>0</v>
      </c>
      <c r="AD208" s="19">
        <v>103.2070889009234</v>
      </c>
      <c r="AE208" s="23">
        <v>1097.3180889009234</v>
      </c>
      <c r="AF208" s="27">
        <v>1.1575055557914658E-2</v>
      </c>
      <c r="AG208" s="19">
        <v>1.6876908272744866</v>
      </c>
      <c r="AH208" s="19">
        <v>7.8734226558858159E-2</v>
      </c>
      <c r="AI208" s="19">
        <v>1.7664250538333448</v>
      </c>
      <c r="AJ208" s="19">
        <v>0</v>
      </c>
      <c r="AK208" s="19">
        <v>88.779340543407102</v>
      </c>
      <c r="AL208" s="23">
        <v>1082.8903405434071</v>
      </c>
      <c r="AM208" s="22">
        <v>1.4709705891825043E-2</v>
      </c>
      <c r="AN208" s="19">
        <v>2.1543104841910781</v>
      </c>
      <c r="AO208" s="19">
        <v>7.8734226558858159E-2</v>
      </c>
      <c r="AP208" s="19">
        <v>2.2330447107499363</v>
      </c>
      <c r="AQ208" s="19">
        <v>0</v>
      </c>
      <c r="AR208" s="19">
        <v>62.538682755554987</v>
      </c>
      <c r="AS208" s="23">
        <v>1056.649682755555</v>
      </c>
    </row>
    <row r="209" spans="5:45">
      <c r="E209" s="35" t="str">
        <f t="shared" si="57"/>
        <v/>
      </c>
      <c r="F209" s="19">
        <v>412</v>
      </c>
      <c r="G209" s="19">
        <v>983.92499999999995</v>
      </c>
      <c r="H209" s="19">
        <v>2</v>
      </c>
      <c r="I209" s="19">
        <v>1.8</v>
      </c>
      <c r="J209" s="36">
        <v>4.0831050228310497</v>
      </c>
      <c r="K209" s="36">
        <v>1.6045588828318709</v>
      </c>
      <c r="L209" s="37">
        <v>2555934.503625989</v>
      </c>
      <c r="M209" s="37" t="s">
        <v>96</v>
      </c>
      <c r="N209" s="23">
        <v>120.89124626382886</v>
      </c>
      <c r="O209" s="57">
        <v>111.88239143753026</v>
      </c>
      <c r="P209" s="66">
        <v>11.25</v>
      </c>
      <c r="Q209" s="68">
        <v>992548.40161508287</v>
      </c>
      <c r="R209" s="27">
        <v>8.7463077071963571E-3</v>
      </c>
      <c r="S209" s="19">
        <v>1.2752477269849725</v>
      </c>
      <c r="T209" s="19">
        <v>7.8734226558858159E-2</v>
      </c>
      <c r="U209" s="19">
        <v>1.3539819535438307</v>
      </c>
      <c r="V209" s="19">
        <v>0</v>
      </c>
      <c r="W209" s="19">
        <v>120.89124626382886</v>
      </c>
      <c r="X209" s="23">
        <v>1104.8162462638288</v>
      </c>
      <c r="Y209" s="22">
        <v>9.8211436332891755E-3</v>
      </c>
      <c r="Z209" s="19">
        <v>1.431963236834217</v>
      </c>
      <c r="AA209" s="19">
        <v>7.8734226558858159E-2</v>
      </c>
      <c r="AB209" s="19">
        <v>1.5106974633930752</v>
      </c>
      <c r="AC209" s="19">
        <v>0</v>
      </c>
      <c r="AD209" s="19">
        <v>111.88239143753026</v>
      </c>
      <c r="AE209" s="23">
        <v>1095.8073914375302</v>
      </c>
      <c r="AF209" s="27">
        <v>1.1575055557914658E-2</v>
      </c>
      <c r="AG209" s="19">
        <v>1.6876908272744866</v>
      </c>
      <c r="AH209" s="19">
        <v>7.8734226558858159E-2</v>
      </c>
      <c r="AI209" s="19">
        <v>1.7664250538333448</v>
      </c>
      <c r="AJ209" s="19">
        <v>0</v>
      </c>
      <c r="AK209" s="19">
        <v>97.198915489573892</v>
      </c>
      <c r="AL209" s="23">
        <v>1081.1239154895738</v>
      </c>
      <c r="AM209" s="22">
        <v>1.4709705891825043E-2</v>
      </c>
      <c r="AN209" s="19">
        <v>2.1543104841910781</v>
      </c>
      <c r="AO209" s="19">
        <v>7.8734226558858159E-2</v>
      </c>
      <c r="AP209" s="19">
        <v>2.2330447107499363</v>
      </c>
      <c r="AQ209" s="19">
        <v>0</v>
      </c>
      <c r="AR209" s="19">
        <v>70.491638044805086</v>
      </c>
      <c r="AS209" s="23">
        <v>1054.416638044805</v>
      </c>
    </row>
    <row r="210" spans="5:45">
      <c r="E210" s="35" t="str">
        <f t="shared" si="57"/>
        <v/>
      </c>
      <c r="F210" s="19">
        <v>414</v>
      </c>
      <c r="G210" s="19">
        <v>972.34699999999998</v>
      </c>
      <c r="H210" s="19">
        <v>2</v>
      </c>
      <c r="I210" s="19">
        <v>1.8</v>
      </c>
      <c r="J210" s="36">
        <v>4.0831050228310497</v>
      </c>
      <c r="K210" s="36">
        <v>1.6045588828318709</v>
      </c>
      <c r="L210" s="37">
        <v>2555934.503625989</v>
      </c>
      <c r="M210" s="37" t="s">
        <v>96</v>
      </c>
      <c r="N210" s="23">
        <v>131.11526431028506</v>
      </c>
      <c r="O210" s="57">
        <v>121.94969397413706</v>
      </c>
      <c r="P210" s="66">
        <v>11.25</v>
      </c>
      <c r="Q210" s="68">
        <v>992548.40161508287</v>
      </c>
      <c r="R210" s="27">
        <v>8.7463077071963571E-3</v>
      </c>
      <c r="S210" s="19">
        <v>1.2752477269849725</v>
      </c>
      <c r="T210" s="19">
        <v>7.8734226558858159E-2</v>
      </c>
      <c r="U210" s="19">
        <v>1.3539819535438307</v>
      </c>
      <c r="V210" s="19">
        <v>0</v>
      </c>
      <c r="W210" s="19">
        <v>131.11526431028506</v>
      </c>
      <c r="X210" s="23">
        <v>1103.462264310285</v>
      </c>
      <c r="Y210" s="22">
        <v>9.8211436332891755E-3</v>
      </c>
      <c r="Z210" s="19">
        <v>1.431963236834217</v>
      </c>
      <c r="AA210" s="19">
        <v>7.8734226558858159E-2</v>
      </c>
      <c r="AB210" s="19">
        <v>1.5106974633930752</v>
      </c>
      <c r="AC210" s="19">
        <v>0</v>
      </c>
      <c r="AD210" s="19">
        <v>121.94969397413706</v>
      </c>
      <c r="AE210" s="23">
        <v>1094.296693974137</v>
      </c>
      <c r="AF210" s="27">
        <v>1.1575055557914658E-2</v>
      </c>
      <c r="AG210" s="19">
        <v>1.6876908272744866</v>
      </c>
      <c r="AH210" s="19">
        <v>7.8734226558858159E-2</v>
      </c>
      <c r="AI210" s="19">
        <v>1.7664250538333448</v>
      </c>
      <c r="AJ210" s="19">
        <v>0</v>
      </c>
      <c r="AK210" s="19">
        <v>107.01049043574062</v>
      </c>
      <c r="AL210" s="23">
        <v>1079.3574904357406</v>
      </c>
      <c r="AM210" s="22">
        <v>1.4709705891825043E-2</v>
      </c>
      <c r="AN210" s="19">
        <v>2.1543104841910781</v>
      </c>
      <c r="AO210" s="19">
        <v>7.8734226558858159E-2</v>
      </c>
      <c r="AP210" s="19">
        <v>2.2330447107499363</v>
      </c>
      <c r="AQ210" s="19">
        <v>0</v>
      </c>
      <c r="AR210" s="19">
        <v>79.836593334055124</v>
      </c>
      <c r="AS210" s="23">
        <v>1052.1835933340551</v>
      </c>
    </row>
    <row r="211" spans="5:45">
      <c r="E211" s="35" t="str">
        <f t="shared" si="57"/>
        <v/>
      </c>
      <c r="F211" s="19">
        <v>416</v>
      </c>
      <c r="G211" s="19">
        <v>963.90099999999995</v>
      </c>
      <c r="H211" s="19">
        <v>2</v>
      </c>
      <c r="I211" s="19">
        <v>1.8</v>
      </c>
      <c r="J211" s="36">
        <v>4.0831050228310497</v>
      </c>
      <c r="K211" s="36">
        <v>1.6045588828318709</v>
      </c>
      <c r="L211" s="37">
        <v>2555934.503625989</v>
      </c>
      <c r="M211" s="37" t="s">
        <v>96</v>
      </c>
      <c r="N211" s="23">
        <v>138.2072823567413</v>
      </c>
      <c r="O211" s="57">
        <v>128.88499651074392</v>
      </c>
      <c r="P211" s="66">
        <v>11.25</v>
      </c>
      <c r="Q211" s="68">
        <v>992548.40161508287</v>
      </c>
      <c r="R211" s="27">
        <v>8.7463077071963571E-3</v>
      </c>
      <c r="S211" s="19">
        <v>1.2752477269849725</v>
      </c>
      <c r="T211" s="19">
        <v>7.8734226558858159E-2</v>
      </c>
      <c r="U211" s="19">
        <v>1.3539819535438307</v>
      </c>
      <c r="V211" s="19">
        <v>0</v>
      </c>
      <c r="W211" s="19">
        <v>138.2072823567413</v>
      </c>
      <c r="X211" s="23">
        <v>1102.1082823567413</v>
      </c>
      <c r="Y211" s="22">
        <v>9.8211436332891755E-3</v>
      </c>
      <c r="Z211" s="19">
        <v>1.431963236834217</v>
      </c>
      <c r="AA211" s="19">
        <v>7.8734226558858159E-2</v>
      </c>
      <c r="AB211" s="19">
        <v>1.5106974633930752</v>
      </c>
      <c r="AC211" s="19">
        <v>0</v>
      </c>
      <c r="AD211" s="19">
        <v>128.88499651074392</v>
      </c>
      <c r="AE211" s="23">
        <v>1092.7859965107439</v>
      </c>
      <c r="AF211" s="27">
        <v>1.1575055557914658E-2</v>
      </c>
      <c r="AG211" s="19">
        <v>1.6876908272744866</v>
      </c>
      <c r="AH211" s="19">
        <v>7.8734226558858159E-2</v>
      </c>
      <c r="AI211" s="19">
        <v>1.7664250538333448</v>
      </c>
      <c r="AJ211" s="19">
        <v>0</v>
      </c>
      <c r="AK211" s="19">
        <v>113.6900653819074</v>
      </c>
      <c r="AL211" s="23">
        <v>1077.5910653819074</v>
      </c>
      <c r="AM211" s="22">
        <v>1.4709705891825043E-2</v>
      </c>
      <c r="AN211" s="19">
        <v>2.1543104841910781</v>
      </c>
      <c r="AO211" s="19">
        <v>7.8734226558858159E-2</v>
      </c>
      <c r="AP211" s="19">
        <v>2.2330447107499363</v>
      </c>
      <c r="AQ211" s="19">
        <v>0</v>
      </c>
      <c r="AR211" s="19">
        <v>86.049548623305213</v>
      </c>
      <c r="AS211" s="23">
        <v>1049.9505486233052</v>
      </c>
    </row>
    <row r="212" spans="5:45">
      <c r="E212" s="35" t="str">
        <f t="shared" si="57"/>
        <v/>
      </c>
      <c r="F212" s="19">
        <v>418</v>
      </c>
      <c r="G212" s="19">
        <v>963.25800000000004</v>
      </c>
      <c r="H212" s="19">
        <v>2</v>
      </c>
      <c r="I212" s="19">
        <v>1.8</v>
      </c>
      <c r="J212" s="36">
        <v>4.0831050228310497</v>
      </c>
      <c r="K212" s="36">
        <v>1.6045588828318709</v>
      </c>
      <c r="L212" s="37">
        <v>2555934.503625989</v>
      </c>
      <c r="M212" s="37" t="s">
        <v>96</v>
      </c>
      <c r="N212" s="23">
        <v>137.49630040319744</v>
      </c>
      <c r="O212" s="57">
        <v>128.01729904735066</v>
      </c>
      <c r="P212" s="66">
        <v>11.25</v>
      </c>
      <c r="Q212" s="68">
        <v>992548.40161508287</v>
      </c>
      <c r="R212" s="27">
        <v>8.7463077071963571E-3</v>
      </c>
      <c r="S212" s="19">
        <v>1.2752477269849725</v>
      </c>
      <c r="T212" s="19">
        <v>7.8734226558858159E-2</v>
      </c>
      <c r="U212" s="19">
        <v>1.3539819535438307</v>
      </c>
      <c r="V212" s="19">
        <v>0</v>
      </c>
      <c r="W212" s="19">
        <v>137.49630040319744</v>
      </c>
      <c r="X212" s="23">
        <v>1100.7543004031975</v>
      </c>
      <c r="Y212" s="22">
        <v>9.8211436332891755E-3</v>
      </c>
      <c r="Z212" s="19">
        <v>1.431963236834217</v>
      </c>
      <c r="AA212" s="19">
        <v>7.8734226558858159E-2</v>
      </c>
      <c r="AB212" s="19">
        <v>1.5106974633930752</v>
      </c>
      <c r="AC212" s="19">
        <v>0</v>
      </c>
      <c r="AD212" s="19">
        <v>128.01729904735066</v>
      </c>
      <c r="AE212" s="23">
        <v>1091.2752990473507</v>
      </c>
      <c r="AF212" s="27">
        <v>1.1575055557914658E-2</v>
      </c>
      <c r="AG212" s="19">
        <v>1.6876908272744866</v>
      </c>
      <c r="AH212" s="19">
        <v>7.8734226558858159E-2</v>
      </c>
      <c r="AI212" s="19">
        <v>1.7664250538333448</v>
      </c>
      <c r="AJ212" s="19">
        <v>0</v>
      </c>
      <c r="AK212" s="19">
        <v>112.56664032807407</v>
      </c>
      <c r="AL212" s="23">
        <v>1075.8246403280741</v>
      </c>
      <c r="AM212" s="22">
        <v>1.4709705891825043E-2</v>
      </c>
      <c r="AN212" s="19">
        <v>2.1543104841910781</v>
      </c>
      <c r="AO212" s="19">
        <v>7.8734226558858159E-2</v>
      </c>
      <c r="AP212" s="19">
        <v>2.2330447107499363</v>
      </c>
      <c r="AQ212" s="19">
        <v>0</v>
      </c>
      <c r="AR212" s="19">
        <v>84.459503912555192</v>
      </c>
      <c r="AS212" s="23">
        <v>1047.7175039125552</v>
      </c>
    </row>
    <row r="213" spans="5:45">
      <c r="E213" s="35" t="str">
        <f t="shared" si="57"/>
        <v/>
      </c>
      <c r="F213" s="19">
        <v>420</v>
      </c>
      <c r="G213" s="19">
        <v>965.87199999999996</v>
      </c>
      <c r="H213" s="19">
        <v>2</v>
      </c>
      <c r="I213" s="19">
        <v>1.8</v>
      </c>
      <c r="J213" s="36">
        <v>4.0831050228310497</v>
      </c>
      <c r="K213" s="36">
        <v>1.6045588828318709</v>
      </c>
      <c r="L213" s="37">
        <v>2555934.503625989</v>
      </c>
      <c r="M213" s="37" t="s">
        <v>96</v>
      </c>
      <c r="N213" s="23">
        <v>133.52831844965374</v>
      </c>
      <c r="O213" s="57">
        <v>123.89260158395757</v>
      </c>
      <c r="P213" s="66">
        <v>11.25</v>
      </c>
      <c r="Q213" s="68">
        <v>992548.40161508287</v>
      </c>
      <c r="R213" s="27">
        <v>8.7463077071963571E-3</v>
      </c>
      <c r="S213" s="19">
        <v>1.2752477269849725</v>
      </c>
      <c r="T213" s="19">
        <v>7.8734226558858159E-2</v>
      </c>
      <c r="U213" s="19">
        <v>1.3539819535438307</v>
      </c>
      <c r="V213" s="19">
        <v>0</v>
      </c>
      <c r="W213" s="19">
        <v>133.52831844965374</v>
      </c>
      <c r="X213" s="23">
        <v>1099.4003184496537</v>
      </c>
      <c r="Y213" s="22">
        <v>9.8211436332891755E-3</v>
      </c>
      <c r="Z213" s="19">
        <v>1.431963236834217</v>
      </c>
      <c r="AA213" s="19">
        <v>7.8734226558858159E-2</v>
      </c>
      <c r="AB213" s="19">
        <v>1.5106974633930752</v>
      </c>
      <c r="AC213" s="19">
        <v>0</v>
      </c>
      <c r="AD213" s="19">
        <v>123.89260158395757</v>
      </c>
      <c r="AE213" s="23">
        <v>1089.7646015839575</v>
      </c>
      <c r="AF213" s="27">
        <v>1.1575055557914658E-2</v>
      </c>
      <c r="AG213" s="19">
        <v>1.6876908272744866</v>
      </c>
      <c r="AH213" s="19">
        <v>7.8734226558858159E-2</v>
      </c>
      <c r="AI213" s="19">
        <v>1.7664250538333448</v>
      </c>
      <c r="AJ213" s="19">
        <v>0</v>
      </c>
      <c r="AK213" s="19">
        <v>108.18621527424091</v>
      </c>
      <c r="AL213" s="23">
        <v>1074.0582152742409</v>
      </c>
      <c r="AM213" s="22">
        <v>1.4709705891825043E-2</v>
      </c>
      <c r="AN213" s="19">
        <v>2.1543104841910781</v>
      </c>
      <c r="AO213" s="19">
        <v>7.8734226558858159E-2</v>
      </c>
      <c r="AP213" s="19">
        <v>2.2330447107499363</v>
      </c>
      <c r="AQ213" s="19">
        <v>0</v>
      </c>
      <c r="AR213" s="19">
        <v>79.612459201805336</v>
      </c>
      <c r="AS213" s="23">
        <v>1045.4844592018053</v>
      </c>
    </row>
    <row r="214" spans="5:45">
      <c r="E214" s="35" t="str">
        <f t="shared" si="57"/>
        <v/>
      </c>
      <c r="F214" s="19">
        <v>422</v>
      </c>
      <c r="G214" s="19">
        <v>966.17700000000002</v>
      </c>
      <c r="H214" s="19">
        <v>2</v>
      </c>
      <c r="I214" s="19">
        <v>1.8</v>
      </c>
      <c r="J214" s="36">
        <v>4.0831050228310497</v>
      </c>
      <c r="K214" s="36">
        <v>1.6045588828318709</v>
      </c>
      <c r="L214" s="37">
        <v>2555934.503625989</v>
      </c>
      <c r="M214" s="37" t="s">
        <v>96</v>
      </c>
      <c r="N214" s="23">
        <v>131.8693364961099</v>
      </c>
      <c r="O214" s="57">
        <v>122.07690412056434</v>
      </c>
      <c r="P214" s="66">
        <v>11.25</v>
      </c>
      <c r="Q214" s="68">
        <v>992548.40161508287</v>
      </c>
      <c r="R214" s="27">
        <v>8.7463077071963571E-3</v>
      </c>
      <c r="S214" s="19">
        <v>1.2752477269849725</v>
      </c>
      <c r="T214" s="19">
        <v>7.8734226558858159E-2</v>
      </c>
      <c r="U214" s="19">
        <v>1.3539819535438307</v>
      </c>
      <c r="V214" s="19">
        <v>0</v>
      </c>
      <c r="W214" s="19">
        <v>131.8693364961099</v>
      </c>
      <c r="X214" s="23">
        <v>1098.0463364961099</v>
      </c>
      <c r="Y214" s="22">
        <v>9.8211436332891755E-3</v>
      </c>
      <c r="Z214" s="19">
        <v>1.431963236834217</v>
      </c>
      <c r="AA214" s="19">
        <v>7.8734226558858159E-2</v>
      </c>
      <c r="AB214" s="19">
        <v>1.5106974633930752</v>
      </c>
      <c r="AC214" s="19">
        <v>0</v>
      </c>
      <c r="AD214" s="19">
        <v>122.07690412056434</v>
      </c>
      <c r="AE214" s="23">
        <v>1088.2539041205644</v>
      </c>
      <c r="AF214" s="27">
        <v>1.1575055557914658E-2</v>
      </c>
      <c r="AG214" s="19">
        <v>1.6876908272744866</v>
      </c>
      <c r="AH214" s="19">
        <v>7.8734226558858159E-2</v>
      </c>
      <c r="AI214" s="19">
        <v>1.7664250538333448</v>
      </c>
      <c r="AJ214" s="19">
        <v>0</v>
      </c>
      <c r="AK214" s="19">
        <v>106.1147902204076</v>
      </c>
      <c r="AL214" s="23">
        <v>1072.2917902204076</v>
      </c>
      <c r="AM214" s="22">
        <v>1.4709705891825043E-2</v>
      </c>
      <c r="AN214" s="19">
        <v>2.1543104841910781</v>
      </c>
      <c r="AO214" s="19">
        <v>7.8734226558858159E-2</v>
      </c>
      <c r="AP214" s="19">
        <v>2.2330447107499363</v>
      </c>
      <c r="AQ214" s="19">
        <v>0</v>
      </c>
      <c r="AR214" s="19">
        <v>77.074414491055336</v>
      </c>
      <c r="AS214" s="23">
        <v>1043.2514144910554</v>
      </c>
    </row>
    <row r="215" spans="5:45">
      <c r="E215" s="35" t="str">
        <f t="shared" si="57"/>
        <v/>
      </c>
      <c r="F215" s="19">
        <v>424</v>
      </c>
      <c r="G215" s="19">
        <v>973.82500000000005</v>
      </c>
      <c r="H215" s="19">
        <v>2</v>
      </c>
      <c r="I215" s="19">
        <v>1.8</v>
      </c>
      <c r="J215" s="36">
        <v>4.0831050228310497</v>
      </c>
      <c r="K215" s="36">
        <v>1.6045588828318709</v>
      </c>
      <c r="L215" s="37">
        <v>2555934.503625989</v>
      </c>
      <c r="M215" s="37" t="s">
        <v>96</v>
      </c>
      <c r="N215" s="23">
        <v>122.86735454256609</v>
      </c>
      <c r="O215" s="57">
        <v>112.91820665717114</v>
      </c>
      <c r="P215" s="66">
        <v>11.25</v>
      </c>
      <c r="Q215" s="68">
        <v>992548.40161508287</v>
      </c>
      <c r="R215" s="27">
        <v>8.7463077071963571E-3</v>
      </c>
      <c r="S215" s="19">
        <v>1.2752477269849725</v>
      </c>
      <c r="T215" s="19">
        <v>7.8734226558858159E-2</v>
      </c>
      <c r="U215" s="19">
        <v>1.3539819535438307</v>
      </c>
      <c r="V215" s="19">
        <v>0</v>
      </c>
      <c r="W215" s="19">
        <v>122.86735454256609</v>
      </c>
      <c r="X215" s="23">
        <v>1096.6923545425661</v>
      </c>
      <c r="Y215" s="22">
        <v>9.8211436332891755E-3</v>
      </c>
      <c r="Z215" s="19">
        <v>1.431963236834217</v>
      </c>
      <c r="AA215" s="19">
        <v>7.8734226558858159E-2</v>
      </c>
      <c r="AB215" s="19">
        <v>1.5106974633930752</v>
      </c>
      <c r="AC215" s="19">
        <v>0</v>
      </c>
      <c r="AD215" s="19">
        <v>112.91820665717114</v>
      </c>
      <c r="AE215" s="23">
        <v>1086.7432066571712</v>
      </c>
      <c r="AF215" s="27">
        <v>1.1575055557914658E-2</v>
      </c>
      <c r="AG215" s="19">
        <v>1.6876908272744866</v>
      </c>
      <c r="AH215" s="19">
        <v>7.8734226558858159E-2</v>
      </c>
      <c r="AI215" s="19">
        <v>1.7664250538333448</v>
      </c>
      <c r="AJ215" s="19">
        <v>0</v>
      </c>
      <c r="AK215" s="19">
        <v>96.700365166574329</v>
      </c>
      <c r="AL215" s="23">
        <v>1070.5253651665744</v>
      </c>
      <c r="AM215" s="22">
        <v>1.4709705891825043E-2</v>
      </c>
      <c r="AN215" s="19">
        <v>2.1543104841910781</v>
      </c>
      <c r="AO215" s="19">
        <v>7.8734226558858159E-2</v>
      </c>
      <c r="AP215" s="19">
        <v>2.2330447107499363</v>
      </c>
      <c r="AQ215" s="19">
        <v>0</v>
      </c>
      <c r="AR215" s="19">
        <v>67.193369780305375</v>
      </c>
      <c r="AS215" s="23">
        <v>1041.0183697803054</v>
      </c>
    </row>
    <row r="216" spans="5:45">
      <c r="E216" s="35" t="str">
        <f t="shared" si="57"/>
        <v/>
      </c>
      <c r="F216" s="19">
        <v>426</v>
      </c>
      <c r="G216" s="19">
        <v>983.97199999999998</v>
      </c>
      <c r="H216" s="19">
        <v>2</v>
      </c>
      <c r="I216" s="19">
        <v>1.8</v>
      </c>
      <c r="J216" s="36">
        <v>4.0831050228310497</v>
      </c>
      <c r="K216" s="36">
        <v>1.6045588828318709</v>
      </c>
      <c r="L216" s="37">
        <v>2555934.503625989</v>
      </c>
      <c r="M216" s="37" t="s">
        <v>96</v>
      </c>
      <c r="N216" s="23">
        <v>111.36637258902238</v>
      </c>
      <c r="O216" s="57">
        <v>101.26050919377803</v>
      </c>
      <c r="P216" s="66">
        <v>11.25</v>
      </c>
      <c r="Q216" s="68">
        <v>992548.40161508287</v>
      </c>
      <c r="R216" s="27">
        <v>8.7463077071963571E-3</v>
      </c>
      <c r="S216" s="19">
        <v>1.2752477269849725</v>
      </c>
      <c r="T216" s="19">
        <v>7.8734226558858159E-2</v>
      </c>
      <c r="U216" s="19">
        <v>1.3539819535438307</v>
      </c>
      <c r="V216" s="19">
        <v>0</v>
      </c>
      <c r="W216" s="19">
        <v>111.36637258902238</v>
      </c>
      <c r="X216" s="23">
        <v>1095.3383725890224</v>
      </c>
      <c r="Y216" s="22">
        <v>9.8211436332891755E-3</v>
      </c>
      <c r="Z216" s="19">
        <v>1.431963236834217</v>
      </c>
      <c r="AA216" s="19">
        <v>7.8734226558858159E-2</v>
      </c>
      <c r="AB216" s="19">
        <v>1.5106974633930752</v>
      </c>
      <c r="AC216" s="19">
        <v>0</v>
      </c>
      <c r="AD216" s="19">
        <v>101.26050919377803</v>
      </c>
      <c r="AE216" s="23">
        <v>1085.232509193778</v>
      </c>
      <c r="AF216" s="27">
        <v>1.1575055557914658E-2</v>
      </c>
      <c r="AG216" s="19">
        <v>1.6876908272744866</v>
      </c>
      <c r="AH216" s="19">
        <v>7.8734226558858159E-2</v>
      </c>
      <c r="AI216" s="19">
        <v>1.7664250538333448</v>
      </c>
      <c r="AJ216" s="19">
        <v>0</v>
      </c>
      <c r="AK216" s="19">
        <v>84.786940112741149</v>
      </c>
      <c r="AL216" s="23">
        <v>1068.7589401127411</v>
      </c>
      <c r="AM216" s="22">
        <v>1.4709705891825043E-2</v>
      </c>
      <c r="AN216" s="19">
        <v>2.1543104841910781</v>
      </c>
      <c r="AO216" s="19">
        <v>7.8734226558858159E-2</v>
      </c>
      <c r="AP216" s="19">
        <v>2.2330447107499363</v>
      </c>
      <c r="AQ216" s="19">
        <v>0</v>
      </c>
      <c r="AR216" s="19">
        <v>54.813325069555503</v>
      </c>
      <c r="AS216" s="23">
        <v>1038.7853250695555</v>
      </c>
    </row>
    <row r="217" spans="5:45">
      <c r="E217" s="35" t="str">
        <f t="shared" si="57"/>
        <v/>
      </c>
      <c r="F217" s="19">
        <v>428</v>
      </c>
      <c r="G217" s="19">
        <v>994.096</v>
      </c>
      <c r="H217" s="19">
        <v>2</v>
      </c>
      <c r="I217" s="19">
        <v>1.8</v>
      </c>
      <c r="J217" s="36">
        <v>4.0831050228310497</v>
      </c>
      <c r="K217" s="36">
        <v>1.6045588828318709</v>
      </c>
      <c r="L217" s="37">
        <v>2555934.503625989</v>
      </c>
      <c r="M217" s="37" t="s">
        <v>96</v>
      </c>
      <c r="N217" s="23">
        <v>99.888390635478572</v>
      </c>
      <c r="O217" s="57">
        <v>89.625811730384839</v>
      </c>
      <c r="P217" s="66">
        <v>11.25</v>
      </c>
      <c r="Q217" s="68">
        <v>992548.40161508287</v>
      </c>
      <c r="R217" s="27">
        <v>8.7463077071963571E-3</v>
      </c>
      <c r="S217" s="19">
        <v>1.2752477269849725</v>
      </c>
      <c r="T217" s="19">
        <v>7.8734226558858159E-2</v>
      </c>
      <c r="U217" s="19">
        <v>1.3539819535438307</v>
      </c>
      <c r="V217" s="19">
        <v>0</v>
      </c>
      <c r="W217" s="19">
        <v>99.888390635478572</v>
      </c>
      <c r="X217" s="23">
        <v>1093.9843906354786</v>
      </c>
      <c r="Y217" s="22">
        <v>9.8211436332891755E-3</v>
      </c>
      <c r="Z217" s="19">
        <v>1.431963236834217</v>
      </c>
      <c r="AA217" s="19">
        <v>7.8734226558858159E-2</v>
      </c>
      <c r="AB217" s="19">
        <v>1.5106974633930752</v>
      </c>
      <c r="AC217" s="19">
        <v>0</v>
      </c>
      <c r="AD217" s="19">
        <v>89.625811730384839</v>
      </c>
      <c r="AE217" s="23">
        <v>1083.7218117303848</v>
      </c>
      <c r="AF217" s="27">
        <v>1.1575055557914658E-2</v>
      </c>
      <c r="AG217" s="19">
        <v>1.6876908272744866</v>
      </c>
      <c r="AH217" s="19">
        <v>7.8734226558858159E-2</v>
      </c>
      <c r="AI217" s="19">
        <v>1.7664250538333448</v>
      </c>
      <c r="AJ217" s="19">
        <v>0</v>
      </c>
      <c r="AK217" s="19">
        <v>72.89651505890788</v>
      </c>
      <c r="AL217" s="23">
        <v>1066.9925150589079</v>
      </c>
      <c r="AM217" s="22">
        <v>1.4709705891825043E-2</v>
      </c>
      <c r="AN217" s="19">
        <v>2.1543104841910781</v>
      </c>
      <c r="AO217" s="19">
        <v>7.8734226558858159E-2</v>
      </c>
      <c r="AP217" s="19">
        <v>2.2330447107499363</v>
      </c>
      <c r="AQ217" s="19">
        <v>0</v>
      </c>
      <c r="AR217" s="19">
        <v>42.456280358805543</v>
      </c>
      <c r="AS217" s="23">
        <v>1036.5522803588055</v>
      </c>
    </row>
    <row r="218" spans="5:45">
      <c r="E218" s="35" t="str">
        <f t="shared" si="57"/>
        <v/>
      </c>
      <c r="F218" s="19">
        <v>430</v>
      </c>
      <c r="G218" s="19">
        <v>991.69500000000005</v>
      </c>
      <c r="H218" s="19">
        <v>2</v>
      </c>
      <c r="I218" s="19">
        <v>1.8</v>
      </c>
      <c r="J218" s="36">
        <v>4.0831050228310497</v>
      </c>
      <c r="K218" s="36">
        <v>1.6045588828318709</v>
      </c>
      <c r="L218" s="37">
        <v>2555934.503625989</v>
      </c>
      <c r="M218" s="37" t="s">
        <v>96</v>
      </c>
      <c r="N218" s="23">
        <v>100.93540868193475</v>
      </c>
      <c r="O218" s="57">
        <v>90.516114266991622</v>
      </c>
      <c r="P218" s="66">
        <v>11.25</v>
      </c>
      <c r="Q218" s="68">
        <v>992548.40161508287</v>
      </c>
      <c r="R218" s="27">
        <v>8.7463077071963571E-3</v>
      </c>
      <c r="S218" s="19">
        <v>1.2752477269849725</v>
      </c>
      <c r="T218" s="19">
        <v>7.8734226558858159E-2</v>
      </c>
      <c r="U218" s="19">
        <v>1.3539819535438307</v>
      </c>
      <c r="V218" s="19">
        <v>0</v>
      </c>
      <c r="W218" s="19">
        <v>100.93540868193475</v>
      </c>
      <c r="X218" s="23">
        <v>1092.6304086819348</v>
      </c>
      <c r="Y218" s="22">
        <v>9.8211436332891755E-3</v>
      </c>
      <c r="Z218" s="19">
        <v>1.431963236834217</v>
      </c>
      <c r="AA218" s="19">
        <v>7.8734226558858159E-2</v>
      </c>
      <c r="AB218" s="19">
        <v>1.5106974633930752</v>
      </c>
      <c r="AC218" s="19">
        <v>0</v>
      </c>
      <c r="AD218" s="19">
        <v>90.516114266991622</v>
      </c>
      <c r="AE218" s="23">
        <v>1082.2111142669917</v>
      </c>
      <c r="AF218" s="27">
        <v>1.1575055557914658E-2</v>
      </c>
      <c r="AG218" s="19">
        <v>1.6876908272744866</v>
      </c>
      <c r="AH218" s="19">
        <v>7.8734226558858159E-2</v>
      </c>
      <c r="AI218" s="19">
        <v>1.7664250538333448</v>
      </c>
      <c r="AJ218" s="19">
        <v>0</v>
      </c>
      <c r="AK218" s="19">
        <v>73.531090005074589</v>
      </c>
      <c r="AL218" s="23">
        <v>1065.2260900050746</v>
      </c>
      <c r="AM218" s="22">
        <v>1.4709705891825043E-2</v>
      </c>
      <c r="AN218" s="19">
        <v>2.1543104841910781</v>
      </c>
      <c r="AO218" s="19">
        <v>7.8734226558858159E-2</v>
      </c>
      <c r="AP218" s="19">
        <v>2.2330447107499363</v>
      </c>
      <c r="AQ218" s="19">
        <v>0</v>
      </c>
      <c r="AR218" s="19">
        <v>42.62423564805556</v>
      </c>
      <c r="AS218" s="23">
        <v>1034.3192356480556</v>
      </c>
    </row>
    <row r="219" spans="5:45">
      <c r="E219" s="35" t="str">
        <f t="shared" si="57"/>
        <v/>
      </c>
      <c r="F219" s="19">
        <v>432</v>
      </c>
      <c r="G219" s="19">
        <v>984.93299999999999</v>
      </c>
      <c r="H219" s="19">
        <v>2</v>
      </c>
      <c r="I219" s="19">
        <v>1.8</v>
      </c>
      <c r="J219" s="36">
        <v>4.0831050228310497</v>
      </c>
      <c r="K219" s="36">
        <v>1.6045588828318709</v>
      </c>
      <c r="L219" s="37">
        <v>2555934.503625989</v>
      </c>
      <c r="M219" s="37" t="s">
        <v>96</v>
      </c>
      <c r="N219" s="23">
        <v>106.34342672839102</v>
      </c>
      <c r="O219" s="57">
        <v>95.767416803598508</v>
      </c>
      <c r="P219" s="66">
        <v>11.25</v>
      </c>
      <c r="Q219" s="68">
        <v>992548.40161508287</v>
      </c>
      <c r="R219" s="27">
        <v>8.7463077071963571E-3</v>
      </c>
      <c r="S219" s="19">
        <v>1.2752477269849725</v>
      </c>
      <c r="T219" s="19">
        <v>7.8734226558858159E-2</v>
      </c>
      <c r="U219" s="19">
        <v>1.3539819535438307</v>
      </c>
      <c r="V219" s="19">
        <v>0</v>
      </c>
      <c r="W219" s="19">
        <v>106.34342672839102</v>
      </c>
      <c r="X219" s="23">
        <v>1091.276426728391</v>
      </c>
      <c r="Y219" s="22">
        <v>9.8211436332891755E-3</v>
      </c>
      <c r="Z219" s="19">
        <v>1.431963236834217</v>
      </c>
      <c r="AA219" s="19">
        <v>7.8734226558858159E-2</v>
      </c>
      <c r="AB219" s="19">
        <v>1.5106974633930752</v>
      </c>
      <c r="AC219" s="19">
        <v>0</v>
      </c>
      <c r="AD219" s="19">
        <v>95.767416803598508</v>
      </c>
      <c r="AE219" s="23">
        <v>1080.7004168035985</v>
      </c>
      <c r="AF219" s="27">
        <v>1.1575055557914658E-2</v>
      </c>
      <c r="AG219" s="19">
        <v>1.6876908272744866</v>
      </c>
      <c r="AH219" s="19">
        <v>7.8734226558858159E-2</v>
      </c>
      <c r="AI219" s="19">
        <v>1.7664250538333448</v>
      </c>
      <c r="AJ219" s="19">
        <v>0</v>
      </c>
      <c r="AK219" s="19">
        <v>78.526664951241401</v>
      </c>
      <c r="AL219" s="23">
        <v>1063.4596649512414</v>
      </c>
      <c r="AM219" s="22">
        <v>1.4709705891825043E-2</v>
      </c>
      <c r="AN219" s="19">
        <v>2.1543104841910781</v>
      </c>
      <c r="AO219" s="19">
        <v>7.8734226558858159E-2</v>
      </c>
      <c r="AP219" s="19">
        <v>2.2330447107499363</v>
      </c>
      <c r="AQ219" s="19">
        <v>0</v>
      </c>
      <c r="AR219" s="19">
        <v>47.153190937305681</v>
      </c>
      <c r="AS219" s="23">
        <v>1032.0861909373057</v>
      </c>
    </row>
    <row r="220" spans="5:45">
      <c r="E220" s="35" t="str">
        <f t="shared" si="57"/>
        <v/>
      </c>
      <c r="F220" s="19">
        <v>434</v>
      </c>
      <c r="G220" s="19">
        <v>974.50900000000001</v>
      </c>
      <c r="H220" s="19">
        <v>2</v>
      </c>
      <c r="I220" s="19">
        <v>1.8</v>
      </c>
      <c r="J220" s="36">
        <v>4.0831050228310497</v>
      </c>
      <c r="K220" s="36">
        <v>1.6045588828318709</v>
      </c>
      <c r="L220" s="37">
        <v>2555934.503625989</v>
      </c>
      <c r="M220" s="37" t="s">
        <v>96</v>
      </c>
      <c r="N220" s="23">
        <v>115.41344477484722</v>
      </c>
      <c r="O220" s="57">
        <v>104.68071934020531</v>
      </c>
      <c r="P220" s="66">
        <v>11.25</v>
      </c>
      <c r="Q220" s="68">
        <v>992548.40161508287</v>
      </c>
      <c r="R220" s="27">
        <v>8.7463077071963571E-3</v>
      </c>
      <c r="S220" s="19">
        <v>1.2752477269849725</v>
      </c>
      <c r="T220" s="19">
        <v>7.8734226558858159E-2</v>
      </c>
      <c r="U220" s="19">
        <v>1.3539819535438307</v>
      </c>
      <c r="V220" s="19">
        <v>0</v>
      </c>
      <c r="W220" s="19">
        <v>115.41344477484722</v>
      </c>
      <c r="X220" s="23">
        <v>1089.9224447748472</v>
      </c>
      <c r="Y220" s="22">
        <v>9.8211436332891755E-3</v>
      </c>
      <c r="Z220" s="19">
        <v>1.431963236834217</v>
      </c>
      <c r="AA220" s="19">
        <v>7.8734226558858159E-2</v>
      </c>
      <c r="AB220" s="19">
        <v>1.5106974633930752</v>
      </c>
      <c r="AC220" s="19">
        <v>0</v>
      </c>
      <c r="AD220" s="19">
        <v>104.68071934020531</v>
      </c>
      <c r="AE220" s="23">
        <v>1079.1897193402053</v>
      </c>
      <c r="AF220" s="27">
        <v>1.1575055557914658E-2</v>
      </c>
      <c r="AG220" s="19">
        <v>1.6876908272744866</v>
      </c>
      <c r="AH220" s="19">
        <v>7.8734226558858159E-2</v>
      </c>
      <c r="AI220" s="19">
        <v>1.7664250538333448</v>
      </c>
      <c r="AJ220" s="19">
        <v>0</v>
      </c>
      <c r="AK220" s="19">
        <v>87.184239897408133</v>
      </c>
      <c r="AL220" s="23">
        <v>1061.6932398974081</v>
      </c>
      <c r="AM220" s="22">
        <v>1.4709705891825043E-2</v>
      </c>
      <c r="AN220" s="19">
        <v>2.1543104841910781</v>
      </c>
      <c r="AO220" s="19">
        <v>7.8734226558858159E-2</v>
      </c>
      <c r="AP220" s="19">
        <v>2.2330447107499363</v>
      </c>
      <c r="AQ220" s="19">
        <v>0</v>
      </c>
      <c r="AR220" s="19">
        <v>55.344146226555722</v>
      </c>
      <c r="AS220" s="23">
        <v>1029.8531462265557</v>
      </c>
    </row>
    <row r="221" spans="5:45">
      <c r="E221" s="35" t="str">
        <f t="shared" si="57"/>
        <v/>
      </c>
      <c r="F221" s="19">
        <v>436</v>
      </c>
      <c r="G221" s="19">
        <v>966.69799999999998</v>
      </c>
      <c r="H221" s="19">
        <v>2</v>
      </c>
      <c r="I221" s="19">
        <v>1.8</v>
      </c>
      <c r="J221" s="36">
        <v>4.0831050228310497</v>
      </c>
      <c r="K221" s="36">
        <v>1.6045588828318709</v>
      </c>
      <c r="L221" s="37">
        <v>2555934.503625989</v>
      </c>
      <c r="M221" s="37" t="s">
        <v>96</v>
      </c>
      <c r="N221" s="23">
        <v>121.87046282130348</v>
      </c>
      <c r="O221" s="57">
        <v>110.98102187681218</v>
      </c>
      <c r="P221" s="66">
        <v>11.25</v>
      </c>
      <c r="Q221" s="68">
        <v>992548.40161508287</v>
      </c>
      <c r="R221" s="27">
        <v>8.7463077071963571E-3</v>
      </c>
      <c r="S221" s="19">
        <v>1.2752477269849725</v>
      </c>
      <c r="T221" s="19">
        <v>7.8734226558858159E-2</v>
      </c>
      <c r="U221" s="19">
        <v>1.3539819535438307</v>
      </c>
      <c r="V221" s="19">
        <v>0</v>
      </c>
      <c r="W221" s="19">
        <v>121.87046282130348</v>
      </c>
      <c r="X221" s="23">
        <v>1088.5684628213035</v>
      </c>
      <c r="Y221" s="22">
        <v>9.8211436332891755E-3</v>
      </c>
      <c r="Z221" s="19">
        <v>1.431963236834217</v>
      </c>
      <c r="AA221" s="19">
        <v>7.8734226558858159E-2</v>
      </c>
      <c r="AB221" s="19">
        <v>1.5106974633930752</v>
      </c>
      <c r="AC221" s="19">
        <v>0</v>
      </c>
      <c r="AD221" s="19">
        <v>110.98102187681218</v>
      </c>
      <c r="AE221" s="23">
        <v>1077.6790218768122</v>
      </c>
      <c r="AF221" s="27">
        <v>1.1575055557914658E-2</v>
      </c>
      <c r="AG221" s="19">
        <v>1.6876908272744866</v>
      </c>
      <c r="AH221" s="19">
        <v>7.8734226558858159E-2</v>
      </c>
      <c r="AI221" s="19">
        <v>1.7664250538333448</v>
      </c>
      <c r="AJ221" s="19">
        <v>0</v>
      </c>
      <c r="AK221" s="19">
        <v>93.228814843574924</v>
      </c>
      <c r="AL221" s="23">
        <v>1059.9268148435749</v>
      </c>
      <c r="AM221" s="22">
        <v>1.4709705891825043E-2</v>
      </c>
      <c r="AN221" s="19">
        <v>2.1543104841910781</v>
      </c>
      <c r="AO221" s="19">
        <v>7.8734226558858159E-2</v>
      </c>
      <c r="AP221" s="19">
        <v>2.2330447107499363</v>
      </c>
      <c r="AQ221" s="19">
        <v>0</v>
      </c>
      <c r="AR221" s="19">
        <v>60.922101515805821</v>
      </c>
      <c r="AS221" s="23">
        <v>1027.6201015158058</v>
      </c>
    </row>
    <row r="222" spans="5:45">
      <c r="E222" s="35" t="str">
        <f t="shared" si="57"/>
        <v/>
      </c>
      <c r="F222" s="19">
        <v>438</v>
      </c>
      <c r="G222" s="19">
        <v>963.61800000000005</v>
      </c>
      <c r="H222" s="19">
        <v>2</v>
      </c>
      <c r="I222" s="19">
        <v>1.8</v>
      </c>
      <c r="J222" s="36">
        <v>4.0831050228310497</v>
      </c>
      <c r="K222" s="36">
        <v>1.6045588828318709</v>
      </c>
      <c r="L222" s="37">
        <v>2555934.503625989</v>
      </c>
      <c r="M222" s="37" t="s">
        <v>96</v>
      </c>
      <c r="N222" s="23">
        <v>123.59648086775962</v>
      </c>
      <c r="O222" s="57">
        <v>112.55032441341893</v>
      </c>
      <c r="P222" s="66">
        <v>11.25</v>
      </c>
      <c r="Q222" s="68">
        <v>992548.40161508287</v>
      </c>
      <c r="R222" s="27">
        <v>8.7463077071963571E-3</v>
      </c>
      <c r="S222" s="19">
        <v>1.2752477269849725</v>
      </c>
      <c r="T222" s="19">
        <v>7.8734226558858159E-2</v>
      </c>
      <c r="U222" s="19">
        <v>1.3539819535438307</v>
      </c>
      <c r="V222" s="19">
        <v>0</v>
      </c>
      <c r="W222" s="19">
        <v>123.59648086775962</v>
      </c>
      <c r="X222" s="23">
        <v>1087.2144808677597</v>
      </c>
      <c r="Y222" s="22">
        <v>9.8211436332891755E-3</v>
      </c>
      <c r="Z222" s="19">
        <v>1.431963236834217</v>
      </c>
      <c r="AA222" s="19">
        <v>7.8734226558858159E-2</v>
      </c>
      <c r="AB222" s="19">
        <v>1.5106974633930752</v>
      </c>
      <c r="AC222" s="19">
        <v>0</v>
      </c>
      <c r="AD222" s="19">
        <v>112.55032441341893</v>
      </c>
      <c r="AE222" s="23">
        <v>1076.168324413419</v>
      </c>
      <c r="AF222" s="27">
        <v>1.1575055557914658E-2</v>
      </c>
      <c r="AG222" s="19">
        <v>1.6876908272744866</v>
      </c>
      <c r="AH222" s="19">
        <v>7.8734226558858159E-2</v>
      </c>
      <c r="AI222" s="19">
        <v>1.7664250538333448</v>
      </c>
      <c r="AJ222" s="19">
        <v>0</v>
      </c>
      <c r="AK222" s="19">
        <v>94.542389789741605</v>
      </c>
      <c r="AL222" s="23">
        <v>1058.1603897897417</v>
      </c>
      <c r="AM222" s="22">
        <v>1.4709705891825043E-2</v>
      </c>
      <c r="AN222" s="19">
        <v>2.1543104841910781</v>
      </c>
      <c r="AO222" s="19">
        <v>7.8734226558858159E-2</v>
      </c>
      <c r="AP222" s="19">
        <v>2.2330447107499363</v>
      </c>
      <c r="AQ222" s="19">
        <v>0</v>
      </c>
      <c r="AR222" s="19">
        <v>61.769056805055811</v>
      </c>
      <c r="AS222" s="23">
        <v>1025.3870568050559</v>
      </c>
    </row>
    <row r="223" spans="5:45">
      <c r="E223" s="35" t="str">
        <f t="shared" si="57"/>
        <v/>
      </c>
      <c r="F223" s="19">
        <v>440</v>
      </c>
      <c r="G223" s="19">
        <v>957.803</v>
      </c>
      <c r="H223" s="19">
        <v>2</v>
      </c>
      <c r="I223" s="19">
        <v>1.8</v>
      </c>
      <c r="J223" s="36">
        <v>4.0831050228310497</v>
      </c>
      <c r="K223" s="36">
        <v>1.6045588828318709</v>
      </c>
      <c r="L223" s="37">
        <v>2555934.503625989</v>
      </c>
      <c r="M223" s="37" t="s">
        <v>96</v>
      </c>
      <c r="N223" s="23">
        <v>128.0574989142159</v>
      </c>
      <c r="O223" s="57">
        <v>116.85462695002582</v>
      </c>
      <c r="P223" s="66">
        <v>11.25</v>
      </c>
      <c r="Q223" s="68">
        <v>992548.40161508287</v>
      </c>
      <c r="R223" s="27">
        <v>8.7463077071963571E-3</v>
      </c>
      <c r="S223" s="19">
        <v>1.2752477269849725</v>
      </c>
      <c r="T223" s="19">
        <v>7.8734226558858159E-2</v>
      </c>
      <c r="U223" s="19">
        <v>1.3539819535438307</v>
      </c>
      <c r="V223" s="19">
        <v>0</v>
      </c>
      <c r="W223" s="19">
        <v>128.0574989142159</v>
      </c>
      <c r="X223" s="23">
        <v>1085.8604989142159</v>
      </c>
      <c r="Y223" s="22">
        <v>9.8211436332891755E-3</v>
      </c>
      <c r="Z223" s="19">
        <v>1.431963236834217</v>
      </c>
      <c r="AA223" s="19">
        <v>7.8734226558858159E-2</v>
      </c>
      <c r="AB223" s="19">
        <v>1.5106974633930752</v>
      </c>
      <c r="AC223" s="19">
        <v>0</v>
      </c>
      <c r="AD223" s="19">
        <v>116.85462695002582</v>
      </c>
      <c r="AE223" s="23">
        <v>1074.6576269500258</v>
      </c>
      <c r="AF223" s="27">
        <v>1.1575055557914658E-2</v>
      </c>
      <c r="AG223" s="19">
        <v>1.6876908272744866</v>
      </c>
      <c r="AH223" s="19">
        <v>7.8734226558858159E-2</v>
      </c>
      <c r="AI223" s="19">
        <v>1.7664250538333448</v>
      </c>
      <c r="AJ223" s="19">
        <v>0</v>
      </c>
      <c r="AK223" s="19">
        <v>98.590964735908415</v>
      </c>
      <c r="AL223" s="23">
        <v>1056.3939647359084</v>
      </c>
      <c r="AM223" s="22">
        <v>1.4709705891825043E-2</v>
      </c>
      <c r="AN223" s="19">
        <v>2.1543104841910781</v>
      </c>
      <c r="AO223" s="19">
        <v>7.8734226558858159E-2</v>
      </c>
      <c r="AP223" s="19">
        <v>2.2330447107499363</v>
      </c>
      <c r="AQ223" s="19">
        <v>0</v>
      </c>
      <c r="AR223" s="19">
        <v>65.351012094305929</v>
      </c>
      <c r="AS223" s="23">
        <v>1023.1540120943059</v>
      </c>
    </row>
    <row r="224" spans="5:45">
      <c r="E224" s="35" t="str">
        <f t="shared" si="57"/>
        <v/>
      </c>
      <c r="F224" s="19">
        <v>442</v>
      </c>
      <c r="G224" s="19">
        <v>954.27700000000004</v>
      </c>
      <c r="H224" s="19">
        <v>2</v>
      </c>
      <c r="I224" s="19">
        <v>1.8</v>
      </c>
      <c r="J224" s="36">
        <v>4.0831050228310497</v>
      </c>
      <c r="K224" s="36">
        <v>1.6045588828318709</v>
      </c>
      <c r="L224" s="37">
        <v>2555934.503625989</v>
      </c>
      <c r="M224" s="37" t="s">
        <v>96</v>
      </c>
      <c r="N224" s="23">
        <v>130.22951696067207</v>
      </c>
      <c r="O224" s="57">
        <v>118.8699294866326</v>
      </c>
      <c r="P224" s="66">
        <v>11.25</v>
      </c>
      <c r="Q224" s="68">
        <v>992548.40161508287</v>
      </c>
      <c r="R224" s="27">
        <v>8.7463077071963571E-3</v>
      </c>
      <c r="S224" s="19">
        <v>1.2752477269849725</v>
      </c>
      <c r="T224" s="19">
        <v>7.8734226558858159E-2</v>
      </c>
      <c r="U224" s="19">
        <v>1.3539819535438307</v>
      </c>
      <c r="V224" s="19">
        <v>0</v>
      </c>
      <c r="W224" s="19">
        <v>130.22951696067207</v>
      </c>
      <c r="X224" s="23">
        <v>1084.5065169606721</v>
      </c>
      <c r="Y224" s="22">
        <v>9.8211436332891755E-3</v>
      </c>
      <c r="Z224" s="19">
        <v>1.431963236834217</v>
      </c>
      <c r="AA224" s="19">
        <v>7.8734226558858159E-2</v>
      </c>
      <c r="AB224" s="19">
        <v>1.5106974633930752</v>
      </c>
      <c r="AC224" s="19">
        <v>0</v>
      </c>
      <c r="AD224" s="19">
        <v>118.8699294866326</v>
      </c>
      <c r="AE224" s="23">
        <v>1073.1469294866326</v>
      </c>
      <c r="AF224" s="27">
        <v>1.1575055557914658E-2</v>
      </c>
      <c r="AG224" s="19">
        <v>1.6876908272744866</v>
      </c>
      <c r="AH224" s="19">
        <v>7.8734226558858159E-2</v>
      </c>
      <c r="AI224" s="19">
        <v>1.7664250538333448</v>
      </c>
      <c r="AJ224" s="19">
        <v>0</v>
      </c>
      <c r="AK224" s="19">
        <v>100.35053968207512</v>
      </c>
      <c r="AL224" s="23">
        <v>1054.6275396820752</v>
      </c>
      <c r="AM224" s="22">
        <v>1.4709705891825043E-2</v>
      </c>
      <c r="AN224" s="19">
        <v>2.1543104841910781</v>
      </c>
      <c r="AO224" s="19">
        <v>7.8734226558858159E-2</v>
      </c>
      <c r="AP224" s="19">
        <v>2.2330447107499363</v>
      </c>
      <c r="AQ224" s="19">
        <v>0</v>
      </c>
      <c r="AR224" s="19">
        <v>66.643967383555946</v>
      </c>
      <c r="AS224" s="23">
        <v>1020.920967383556</v>
      </c>
    </row>
    <row r="225" spans="5:45">
      <c r="E225" s="35" t="str">
        <f t="shared" si="57"/>
        <v/>
      </c>
      <c r="F225" s="19">
        <v>444</v>
      </c>
      <c r="G225" s="19">
        <v>947.18200000000002</v>
      </c>
      <c r="H225" s="19">
        <v>2</v>
      </c>
      <c r="I225" s="19">
        <v>1.8</v>
      </c>
      <c r="J225" s="36">
        <v>4.0831050228310497</v>
      </c>
      <c r="K225" s="36">
        <v>1.6045588828318709</v>
      </c>
      <c r="L225" s="37">
        <v>2555934.503625989</v>
      </c>
      <c r="M225" s="37" t="s">
        <v>96</v>
      </c>
      <c r="N225" s="23">
        <v>135.97053500712832</v>
      </c>
      <c r="O225" s="57">
        <v>124.45423202323946</v>
      </c>
      <c r="P225" s="66">
        <v>11.25</v>
      </c>
      <c r="Q225" s="68">
        <v>992548.40161508287</v>
      </c>
      <c r="R225" s="27">
        <v>8.7463077071963571E-3</v>
      </c>
      <c r="S225" s="19">
        <v>1.2752477269849725</v>
      </c>
      <c r="T225" s="19">
        <v>7.8734226558858159E-2</v>
      </c>
      <c r="U225" s="19">
        <v>1.3539819535438307</v>
      </c>
      <c r="V225" s="19">
        <v>0</v>
      </c>
      <c r="W225" s="19">
        <v>135.97053500712832</v>
      </c>
      <c r="X225" s="23">
        <v>1083.1525350071283</v>
      </c>
      <c r="Y225" s="22">
        <v>9.8211436332891755E-3</v>
      </c>
      <c r="Z225" s="19">
        <v>1.431963236834217</v>
      </c>
      <c r="AA225" s="19">
        <v>7.8734226558858159E-2</v>
      </c>
      <c r="AB225" s="19">
        <v>1.5106974633930752</v>
      </c>
      <c r="AC225" s="19">
        <v>0</v>
      </c>
      <c r="AD225" s="19">
        <v>124.45423202323946</v>
      </c>
      <c r="AE225" s="23">
        <v>1071.6362320232395</v>
      </c>
      <c r="AF225" s="27">
        <v>1.1575055557914658E-2</v>
      </c>
      <c r="AG225" s="19">
        <v>1.6876908272744866</v>
      </c>
      <c r="AH225" s="19">
        <v>7.8734226558858159E-2</v>
      </c>
      <c r="AI225" s="19">
        <v>1.7664250538333448</v>
      </c>
      <c r="AJ225" s="19">
        <v>0</v>
      </c>
      <c r="AK225" s="19">
        <v>105.6791146282419</v>
      </c>
      <c r="AL225" s="23">
        <v>1052.8611146282419</v>
      </c>
      <c r="AM225" s="22">
        <v>1.4709705891825043E-2</v>
      </c>
      <c r="AN225" s="19">
        <v>2.1543104841910781</v>
      </c>
      <c r="AO225" s="19">
        <v>7.8734226558858159E-2</v>
      </c>
      <c r="AP225" s="19">
        <v>2.2330447107499363</v>
      </c>
      <c r="AQ225" s="19">
        <v>0</v>
      </c>
      <c r="AR225" s="19">
        <v>71.505922672806037</v>
      </c>
      <c r="AS225" s="23">
        <v>1018.6879226728061</v>
      </c>
    </row>
    <row r="226" spans="5:45">
      <c r="E226" s="35" t="str">
        <f t="shared" si="57"/>
        <v/>
      </c>
      <c r="F226" s="19">
        <v>446</v>
      </c>
      <c r="G226" s="19">
        <v>938.04499999999996</v>
      </c>
      <c r="H226" s="19">
        <v>2</v>
      </c>
      <c r="I226" s="19">
        <v>1.8</v>
      </c>
      <c r="J226" s="36">
        <v>4.0831050228310497</v>
      </c>
      <c r="K226" s="36">
        <v>1.6045588828318709</v>
      </c>
      <c r="L226" s="37">
        <v>2555934.503625989</v>
      </c>
      <c r="M226" s="37" t="s">
        <v>96</v>
      </c>
      <c r="N226" s="23">
        <v>143.7535530535846</v>
      </c>
      <c r="O226" s="57">
        <v>132.08053455984634</v>
      </c>
      <c r="P226" s="66">
        <v>11.25</v>
      </c>
      <c r="Q226" s="68">
        <v>992548.40161508287</v>
      </c>
      <c r="R226" s="27">
        <v>8.7463077071963571E-3</v>
      </c>
      <c r="S226" s="19">
        <v>1.2752477269849725</v>
      </c>
      <c r="T226" s="19">
        <v>7.8734226558858159E-2</v>
      </c>
      <c r="U226" s="19">
        <v>1.3539819535438307</v>
      </c>
      <c r="V226" s="19">
        <v>0</v>
      </c>
      <c r="W226" s="19">
        <v>143.7535530535846</v>
      </c>
      <c r="X226" s="23">
        <v>1081.7985530535846</v>
      </c>
      <c r="Y226" s="22">
        <v>9.8211436332891755E-3</v>
      </c>
      <c r="Z226" s="19">
        <v>1.431963236834217</v>
      </c>
      <c r="AA226" s="19">
        <v>7.8734226558858159E-2</v>
      </c>
      <c r="AB226" s="19">
        <v>1.5106974633930752</v>
      </c>
      <c r="AC226" s="19">
        <v>0</v>
      </c>
      <c r="AD226" s="19">
        <v>132.08053455984634</v>
      </c>
      <c r="AE226" s="23">
        <v>1070.1255345598463</v>
      </c>
      <c r="AF226" s="27">
        <v>1.1575055557914658E-2</v>
      </c>
      <c r="AG226" s="19">
        <v>1.6876908272744866</v>
      </c>
      <c r="AH226" s="19">
        <v>7.8734226558858159E-2</v>
      </c>
      <c r="AI226" s="19">
        <v>1.7664250538333448</v>
      </c>
      <c r="AJ226" s="19">
        <v>0</v>
      </c>
      <c r="AK226" s="19">
        <v>113.04968957440872</v>
      </c>
      <c r="AL226" s="23">
        <v>1051.0946895744087</v>
      </c>
      <c r="AM226" s="22">
        <v>1.4709705891825043E-2</v>
      </c>
      <c r="AN226" s="19">
        <v>2.1543104841910781</v>
      </c>
      <c r="AO226" s="19">
        <v>7.8734226558858159E-2</v>
      </c>
      <c r="AP226" s="19">
        <v>2.2330447107499363</v>
      </c>
      <c r="AQ226" s="19">
        <v>0</v>
      </c>
      <c r="AR226" s="19">
        <v>78.409877962056157</v>
      </c>
      <c r="AS226" s="23">
        <v>1016.4548779620561</v>
      </c>
    </row>
    <row r="227" spans="5:45">
      <c r="E227" s="35" t="str">
        <f t="shared" si="57"/>
        <v/>
      </c>
      <c r="F227" s="19">
        <v>448</v>
      </c>
      <c r="G227" s="19">
        <v>930.87099999999998</v>
      </c>
      <c r="H227" s="19">
        <v>2</v>
      </c>
      <c r="I227" s="19">
        <v>1.8</v>
      </c>
      <c r="J227" s="36">
        <v>4.0831050228310497</v>
      </c>
      <c r="K227" s="36">
        <v>1.6045588828318709</v>
      </c>
      <c r="L227" s="37">
        <v>2555934.503625989</v>
      </c>
      <c r="M227" s="37" t="s">
        <v>96</v>
      </c>
      <c r="N227" s="23">
        <v>149.57357110004079</v>
      </c>
      <c r="O227" s="57">
        <v>137.74383709645315</v>
      </c>
      <c r="P227" s="66">
        <v>11.25</v>
      </c>
      <c r="Q227" s="68">
        <v>992548.40161508287</v>
      </c>
      <c r="R227" s="27">
        <v>8.7463077071963571E-3</v>
      </c>
      <c r="S227" s="19">
        <v>1.2752477269849725</v>
      </c>
      <c r="T227" s="19">
        <v>7.8734226558858159E-2</v>
      </c>
      <c r="U227" s="19">
        <v>1.3539819535438307</v>
      </c>
      <c r="V227" s="19">
        <v>0</v>
      </c>
      <c r="W227" s="19">
        <v>149.57357110004079</v>
      </c>
      <c r="X227" s="23">
        <v>1080.4445711000408</v>
      </c>
      <c r="Y227" s="22">
        <v>9.8211436332891755E-3</v>
      </c>
      <c r="Z227" s="19">
        <v>1.431963236834217</v>
      </c>
      <c r="AA227" s="19">
        <v>7.8734226558858159E-2</v>
      </c>
      <c r="AB227" s="19">
        <v>1.5106974633930752</v>
      </c>
      <c r="AC227" s="19">
        <v>0</v>
      </c>
      <c r="AD227" s="19">
        <v>137.74383709645315</v>
      </c>
      <c r="AE227" s="23">
        <v>1068.6148370964531</v>
      </c>
      <c r="AF227" s="27">
        <v>1.1575055557914658E-2</v>
      </c>
      <c r="AG227" s="19">
        <v>1.6876908272744866</v>
      </c>
      <c r="AH227" s="19">
        <v>7.8734226558858159E-2</v>
      </c>
      <c r="AI227" s="19">
        <v>1.7664250538333448</v>
      </c>
      <c r="AJ227" s="19">
        <v>0</v>
      </c>
      <c r="AK227" s="19">
        <v>118.45726452057545</v>
      </c>
      <c r="AL227" s="23">
        <v>1049.3282645205754</v>
      </c>
      <c r="AM227" s="22">
        <v>1.4709705891825043E-2</v>
      </c>
      <c r="AN227" s="19">
        <v>2.1543104841910781</v>
      </c>
      <c r="AO227" s="19">
        <v>7.8734226558858159E-2</v>
      </c>
      <c r="AP227" s="19">
        <v>2.2330447107499363</v>
      </c>
      <c r="AQ227" s="19">
        <v>0</v>
      </c>
      <c r="AR227" s="19">
        <v>83.350833251306199</v>
      </c>
      <c r="AS227" s="23">
        <v>1014.2218332513062</v>
      </c>
    </row>
    <row r="228" spans="5:45">
      <c r="E228" s="35" t="str">
        <f t="shared" si="57"/>
        <v/>
      </c>
      <c r="F228" s="19">
        <v>450</v>
      </c>
      <c r="G228" s="19">
        <v>926.39099999999996</v>
      </c>
      <c r="H228" s="19">
        <v>2</v>
      </c>
      <c r="I228" s="19">
        <v>1.8</v>
      </c>
      <c r="J228" s="36">
        <v>4.0831050228310497</v>
      </c>
      <c r="K228" s="36">
        <v>1.6045588828318709</v>
      </c>
      <c r="L228" s="37">
        <v>2555934.503625989</v>
      </c>
      <c r="M228" s="37" t="s">
        <v>96</v>
      </c>
      <c r="N228" s="23">
        <v>152.69958914649703</v>
      </c>
      <c r="O228" s="57">
        <v>140.71313963306</v>
      </c>
      <c r="P228" s="66">
        <v>11.25</v>
      </c>
      <c r="Q228" s="68">
        <v>992548.40161508287</v>
      </c>
      <c r="R228" s="27">
        <v>8.7463077071963571E-3</v>
      </c>
      <c r="S228" s="19">
        <v>1.2752477269849725</v>
      </c>
      <c r="T228" s="19">
        <v>7.8734226558858159E-2</v>
      </c>
      <c r="U228" s="19">
        <v>1.3539819535438307</v>
      </c>
      <c r="V228" s="19">
        <v>0</v>
      </c>
      <c r="W228" s="19">
        <v>152.69958914649703</v>
      </c>
      <c r="X228" s="23">
        <v>1079.090589146497</v>
      </c>
      <c r="Y228" s="22">
        <v>9.8211436332891755E-3</v>
      </c>
      <c r="Z228" s="19">
        <v>1.431963236834217</v>
      </c>
      <c r="AA228" s="19">
        <v>7.8734226558858159E-2</v>
      </c>
      <c r="AB228" s="19">
        <v>1.5106974633930752</v>
      </c>
      <c r="AC228" s="19">
        <v>0</v>
      </c>
      <c r="AD228" s="19">
        <v>140.71313963306</v>
      </c>
      <c r="AE228" s="23">
        <v>1067.10413963306</v>
      </c>
      <c r="AF228" s="27">
        <v>1.1575055557914658E-2</v>
      </c>
      <c r="AG228" s="19">
        <v>1.6876908272744866</v>
      </c>
      <c r="AH228" s="19">
        <v>7.8734226558858159E-2</v>
      </c>
      <c r="AI228" s="19">
        <v>1.7664250538333448</v>
      </c>
      <c r="AJ228" s="19">
        <v>0</v>
      </c>
      <c r="AK228" s="19">
        <v>121.17083946674222</v>
      </c>
      <c r="AL228" s="23">
        <v>1047.5618394667422</v>
      </c>
      <c r="AM228" s="22">
        <v>1.4709705891825043E-2</v>
      </c>
      <c r="AN228" s="19">
        <v>2.1543104841910781</v>
      </c>
      <c r="AO228" s="19">
        <v>7.8734226558858159E-2</v>
      </c>
      <c r="AP228" s="19">
        <v>2.2330447107499363</v>
      </c>
      <c r="AQ228" s="19">
        <v>0</v>
      </c>
      <c r="AR228" s="19">
        <v>85.59778854055628</v>
      </c>
      <c r="AS228" s="23">
        <v>1011.9887885405562</v>
      </c>
    </row>
    <row r="229" spans="5:45">
      <c r="E229" s="35" t="str">
        <f t="shared" si="57"/>
        <v/>
      </c>
      <c r="F229" s="19">
        <v>452</v>
      </c>
      <c r="G229" s="19">
        <v>918.34400000000005</v>
      </c>
      <c r="H229" s="19">
        <v>2</v>
      </c>
      <c r="I229" s="19">
        <v>1.8</v>
      </c>
      <c r="J229" s="36">
        <v>4.0831050228310497</v>
      </c>
      <c r="K229" s="36">
        <v>1.6045588828318709</v>
      </c>
      <c r="L229" s="37">
        <v>2555934.503625989</v>
      </c>
      <c r="M229" s="37" t="s">
        <v>96</v>
      </c>
      <c r="N229" s="23">
        <v>159.39260719295316</v>
      </c>
      <c r="O229" s="57">
        <v>147.24944216966674</v>
      </c>
      <c r="P229" s="66">
        <v>11.25</v>
      </c>
      <c r="Q229" s="68">
        <v>992548.40161508287</v>
      </c>
      <c r="R229" s="27">
        <v>8.7463077071963571E-3</v>
      </c>
      <c r="S229" s="19">
        <v>1.2752477269849725</v>
      </c>
      <c r="T229" s="19">
        <v>7.8734226558858159E-2</v>
      </c>
      <c r="U229" s="19">
        <v>1.3539819535438307</v>
      </c>
      <c r="V229" s="19">
        <v>0</v>
      </c>
      <c r="W229" s="19">
        <v>159.39260719295316</v>
      </c>
      <c r="X229" s="23">
        <v>1077.7366071929532</v>
      </c>
      <c r="Y229" s="22">
        <v>9.8211436332891755E-3</v>
      </c>
      <c r="Z229" s="19">
        <v>1.431963236834217</v>
      </c>
      <c r="AA229" s="19">
        <v>7.8734226558858159E-2</v>
      </c>
      <c r="AB229" s="19">
        <v>1.5106974633930752</v>
      </c>
      <c r="AC229" s="19">
        <v>0</v>
      </c>
      <c r="AD229" s="19">
        <v>147.24944216966674</v>
      </c>
      <c r="AE229" s="23">
        <v>1065.5934421696668</v>
      </c>
      <c r="AF229" s="27">
        <v>1.1575055557914658E-2</v>
      </c>
      <c r="AG229" s="19">
        <v>1.6876908272744866</v>
      </c>
      <c r="AH229" s="19">
        <v>7.8734226558858159E-2</v>
      </c>
      <c r="AI229" s="19">
        <v>1.7664250538333448</v>
      </c>
      <c r="AJ229" s="19">
        <v>0</v>
      </c>
      <c r="AK229" s="19">
        <v>127.45141441290889</v>
      </c>
      <c r="AL229" s="23">
        <v>1045.7954144129089</v>
      </c>
      <c r="AM229" s="22">
        <v>1.4709705891825043E-2</v>
      </c>
      <c r="AN229" s="19">
        <v>2.1543104841910781</v>
      </c>
      <c r="AO229" s="19">
        <v>7.8734226558858159E-2</v>
      </c>
      <c r="AP229" s="19">
        <v>2.2330447107499363</v>
      </c>
      <c r="AQ229" s="19">
        <v>0</v>
      </c>
      <c r="AR229" s="19">
        <v>91.411743829806255</v>
      </c>
      <c r="AS229" s="23">
        <v>1009.7557438298063</v>
      </c>
    </row>
    <row r="230" spans="5:45">
      <c r="E230" s="35" t="str">
        <f t="shared" si="57"/>
        <v/>
      </c>
      <c r="F230" s="19">
        <v>454</v>
      </c>
      <c r="G230" s="19">
        <v>911.505</v>
      </c>
      <c r="H230" s="19">
        <v>2</v>
      </c>
      <c r="I230" s="19">
        <v>1.8</v>
      </c>
      <c r="J230" s="36">
        <v>4.0831050228310497</v>
      </c>
      <c r="K230" s="36">
        <v>1.6045588828318709</v>
      </c>
      <c r="L230" s="37">
        <v>2555934.503625989</v>
      </c>
      <c r="M230" s="37" t="s">
        <v>96</v>
      </c>
      <c r="N230" s="23">
        <v>164.87762523940944</v>
      </c>
      <c r="O230" s="57">
        <v>152.57774470627362</v>
      </c>
      <c r="P230" s="66">
        <v>11.25</v>
      </c>
      <c r="Q230" s="68">
        <v>992548.40161508287</v>
      </c>
      <c r="R230" s="27">
        <v>8.7463077071963571E-3</v>
      </c>
      <c r="S230" s="19">
        <v>1.2752477269849725</v>
      </c>
      <c r="T230" s="19">
        <v>7.8734226558858159E-2</v>
      </c>
      <c r="U230" s="19">
        <v>1.3539819535438307</v>
      </c>
      <c r="V230" s="19">
        <v>0</v>
      </c>
      <c r="W230" s="19">
        <v>164.87762523940944</v>
      </c>
      <c r="X230" s="23">
        <v>1076.3826252394094</v>
      </c>
      <c r="Y230" s="22">
        <v>9.8211436332891755E-3</v>
      </c>
      <c r="Z230" s="19">
        <v>1.431963236834217</v>
      </c>
      <c r="AA230" s="19">
        <v>7.8734226558858159E-2</v>
      </c>
      <c r="AB230" s="19">
        <v>1.5106974633930752</v>
      </c>
      <c r="AC230" s="19">
        <v>0</v>
      </c>
      <c r="AD230" s="19">
        <v>152.57774470627362</v>
      </c>
      <c r="AE230" s="23">
        <v>1064.0827447062736</v>
      </c>
      <c r="AF230" s="27">
        <v>1.1575055557914658E-2</v>
      </c>
      <c r="AG230" s="19">
        <v>1.6876908272744866</v>
      </c>
      <c r="AH230" s="19">
        <v>7.8734226558858159E-2</v>
      </c>
      <c r="AI230" s="19">
        <v>1.7664250538333448</v>
      </c>
      <c r="AJ230" s="19">
        <v>0</v>
      </c>
      <c r="AK230" s="19">
        <v>132.5239893590757</v>
      </c>
      <c r="AL230" s="23">
        <v>1044.0289893590757</v>
      </c>
      <c r="AM230" s="22">
        <v>1.4709705891825043E-2</v>
      </c>
      <c r="AN230" s="19">
        <v>2.1543104841910781</v>
      </c>
      <c r="AO230" s="19">
        <v>7.8734226558858159E-2</v>
      </c>
      <c r="AP230" s="19">
        <v>2.2330447107499363</v>
      </c>
      <c r="AQ230" s="19">
        <v>0</v>
      </c>
      <c r="AR230" s="19">
        <v>96.017699119056374</v>
      </c>
      <c r="AS230" s="23">
        <v>1007.5226991190564</v>
      </c>
    </row>
    <row r="231" spans="5:45">
      <c r="E231" s="35" t="str">
        <f t="shared" si="57"/>
        <v/>
      </c>
      <c r="F231" s="19">
        <v>456</v>
      </c>
      <c r="G231" s="19">
        <v>903.61</v>
      </c>
      <c r="H231" s="19">
        <v>2</v>
      </c>
      <c r="I231" s="19">
        <v>1.8</v>
      </c>
      <c r="J231" s="36">
        <v>4.0831050228310497</v>
      </c>
      <c r="K231" s="36">
        <v>1.6045588828318709</v>
      </c>
      <c r="L231" s="37">
        <v>2555934.503625989</v>
      </c>
      <c r="M231" s="37" t="s">
        <v>96</v>
      </c>
      <c r="N231" s="23">
        <v>171.41864328586564</v>
      </c>
      <c r="O231" s="57">
        <v>158.96204724288043</v>
      </c>
      <c r="P231" s="66">
        <v>11.25</v>
      </c>
      <c r="Q231" s="68">
        <v>992548.40161508287</v>
      </c>
      <c r="R231" s="27">
        <v>8.7463077071963571E-3</v>
      </c>
      <c r="S231" s="19">
        <v>1.2752477269849725</v>
      </c>
      <c r="T231" s="19">
        <v>7.8734226558858159E-2</v>
      </c>
      <c r="U231" s="19">
        <v>1.3539819535438307</v>
      </c>
      <c r="V231" s="19">
        <v>0</v>
      </c>
      <c r="W231" s="19">
        <v>171.41864328586564</v>
      </c>
      <c r="X231" s="23">
        <v>1075.0286432858657</v>
      </c>
      <c r="Y231" s="22">
        <v>9.8211436332891755E-3</v>
      </c>
      <c r="Z231" s="19">
        <v>1.431963236834217</v>
      </c>
      <c r="AA231" s="19">
        <v>7.8734226558858159E-2</v>
      </c>
      <c r="AB231" s="19">
        <v>1.5106974633930752</v>
      </c>
      <c r="AC231" s="19">
        <v>0</v>
      </c>
      <c r="AD231" s="19">
        <v>158.96204724288043</v>
      </c>
      <c r="AE231" s="23">
        <v>1062.5720472428804</v>
      </c>
      <c r="AF231" s="27">
        <v>1.1575055557914658E-2</v>
      </c>
      <c r="AG231" s="19">
        <v>1.6876908272744866</v>
      </c>
      <c r="AH231" s="19">
        <v>7.8734226558858159E-2</v>
      </c>
      <c r="AI231" s="19">
        <v>1.7664250538333448</v>
      </c>
      <c r="AJ231" s="19">
        <v>0</v>
      </c>
      <c r="AK231" s="19">
        <v>138.65256430524244</v>
      </c>
      <c r="AL231" s="23">
        <v>1042.2625643052424</v>
      </c>
      <c r="AM231" s="22">
        <v>1.4709705891825043E-2</v>
      </c>
      <c r="AN231" s="19">
        <v>2.1543104841910781</v>
      </c>
      <c r="AO231" s="19">
        <v>7.8734226558858159E-2</v>
      </c>
      <c r="AP231" s="19">
        <v>2.2330447107499363</v>
      </c>
      <c r="AQ231" s="19">
        <v>0</v>
      </c>
      <c r="AR231" s="19">
        <v>101.67965440830642</v>
      </c>
      <c r="AS231" s="23">
        <v>1005.2896544083064</v>
      </c>
    </row>
    <row r="232" spans="5:45">
      <c r="E232" s="35" t="str">
        <f t="shared" si="57"/>
        <v/>
      </c>
      <c r="F232" s="19">
        <v>458</v>
      </c>
      <c r="G232" s="19">
        <v>900.63</v>
      </c>
      <c r="H232" s="19">
        <v>2</v>
      </c>
      <c r="I232" s="19">
        <v>1.8</v>
      </c>
      <c r="J232" s="36">
        <v>4.0831050228310497</v>
      </c>
      <c r="K232" s="36">
        <v>1.6045588828318709</v>
      </c>
      <c r="L232" s="37">
        <v>2555934.503625989</v>
      </c>
      <c r="M232" s="37" t="s">
        <v>96</v>
      </c>
      <c r="N232" s="23">
        <v>173.04466133232188</v>
      </c>
      <c r="O232" s="57">
        <v>160.43134977948728</v>
      </c>
      <c r="P232" s="66">
        <v>11.25</v>
      </c>
      <c r="Q232" s="68">
        <v>992548.40161508287</v>
      </c>
      <c r="R232" s="27">
        <v>8.7463077071963571E-3</v>
      </c>
      <c r="S232" s="19">
        <v>1.2752477269849725</v>
      </c>
      <c r="T232" s="19">
        <v>7.8734226558858159E-2</v>
      </c>
      <c r="U232" s="19">
        <v>1.3539819535438307</v>
      </c>
      <c r="V232" s="19">
        <v>0</v>
      </c>
      <c r="W232" s="19">
        <v>173.04466133232188</v>
      </c>
      <c r="X232" s="23">
        <v>1073.6746613323219</v>
      </c>
      <c r="Y232" s="22">
        <v>9.8211436332891755E-3</v>
      </c>
      <c r="Z232" s="19">
        <v>1.431963236834217</v>
      </c>
      <c r="AA232" s="19">
        <v>7.8734226558858159E-2</v>
      </c>
      <c r="AB232" s="19">
        <v>1.5106974633930752</v>
      </c>
      <c r="AC232" s="19">
        <v>0</v>
      </c>
      <c r="AD232" s="19">
        <v>160.43134977948728</v>
      </c>
      <c r="AE232" s="23">
        <v>1061.0613497794873</v>
      </c>
      <c r="AF232" s="27">
        <v>1.1575055557914658E-2</v>
      </c>
      <c r="AG232" s="19">
        <v>1.6876908272744866</v>
      </c>
      <c r="AH232" s="19">
        <v>7.8734226558858159E-2</v>
      </c>
      <c r="AI232" s="19">
        <v>1.7664250538333448</v>
      </c>
      <c r="AJ232" s="19">
        <v>0</v>
      </c>
      <c r="AK232" s="19">
        <v>139.86613925140921</v>
      </c>
      <c r="AL232" s="23">
        <v>1040.4961392514092</v>
      </c>
      <c r="AM232" s="22">
        <v>1.4709705891825043E-2</v>
      </c>
      <c r="AN232" s="19">
        <v>2.1543104841910781</v>
      </c>
      <c r="AO232" s="19">
        <v>7.8734226558858159E-2</v>
      </c>
      <c r="AP232" s="19">
        <v>2.2330447107499363</v>
      </c>
      <c r="AQ232" s="19">
        <v>0</v>
      </c>
      <c r="AR232" s="19">
        <v>102.4266096975565</v>
      </c>
      <c r="AS232" s="23">
        <v>1003.0566096975565</v>
      </c>
    </row>
    <row r="233" spans="5:45">
      <c r="E233" s="35" t="str">
        <f t="shared" si="57"/>
        <v/>
      </c>
      <c r="F233" s="19">
        <v>460</v>
      </c>
      <c r="G233" s="19">
        <v>904.06600000000003</v>
      </c>
      <c r="H233" s="19">
        <v>2</v>
      </c>
      <c r="I233" s="19">
        <v>1.8</v>
      </c>
      <c r="J233" s="36">
        <v>4.0831050228310497</v>
      </c>
      <c r="K233" s="36">
        <v>1.6045588828318709</v>
      </c>
      <c r="L233" s="37">
        <v>2555934.503625989</v>
      </c>
      <c r="M233" s="37" t="s">
        <v>96</v>
      </c>
      <c r="N233" s="23">
        <v>168.25467937877806</v>
      </c>
      <c r="O233" s="57">
        <v>155.48465231609407</v>
      </c>
      <c r="P233" s="66">
        <v>11.25</v>
      </c>
      <c r="Q233" s="68">
        <v>992548.40161508287</v>
      </c>
      <c r="R233" s="27">
        <v>8.7463077071963571E-3</v>
      </c>
      <c r="S233" s="19">
        <v>1.2752477269849725</v>
      </c>
      <c r="T233" s="19">
        <v>7.8734226558858159E-2</v>
      </c>
      <c r="U233" s="19">
        <v>1.3539819535438307</v>
      </c>
      <c r="V233" s="19">
        <v>0</v>
      </c>
      <c r="W233" s="19">
        <v>168.25467937877806</v>
      </c>
      <c r="X233" s="23">
        <v>1072.3206793787781</v>
      </c>
      <c r="Y233" s="22">
        <v>9.8211436332891755E-3</v>
      </c>
      <c r="Z233" s="19">
        <v>1.431963236834217</v>
      </c>
      <c r="AA233" s="19">
        <v>7.8734226558858159E-2</v>
      </c>
      <c r="AB233" s="19">
        <v>1.5106974633930752</v>
      </c>
      <c r="AC233" s="19">
        <v>0</v>
      </c>
      <c r="AD233" s="19">
        <v>155.48465231609407</v>
      </c>
      <c r="AE233" s="23">
        <v>1059.5506523160941</v>
      </c>
      <c r="AF233" s="27">
        <v>1.1575055557914658E-2</v>
      </c>
      <c r="AG233" s="19">
        <v>1.6876908272744866</v>
      </c>
      <c r="AH233" s="19">
        <v>7.8734226558858159E-2</v>
      </c>
      <c r="AI233" s="19">
        <v>1.7664250538333448</v>
      </c>
      <c r="AJ233" s="19">
        <v>0</v>
      </c>
      <c r="AK233" s="19">
        <v>134.66371419757593</v>
      </c>
      <c r="AL233" s="23">
        <v>1038.729714197576</v>
      </c>
      <c r="AM233" s="22">
        <v>1.4709705891825043E-2</v>
      </c>
      <c r="AN233" s="19">
        <v>2.1543104841910781</v>
      </c>
      <c r="AO233" s="19">
        <v>7.8734226558858159E-2</v>
      </c>
      <c r="AP233" s="19">
        <v>2.2330447107499363</v>
      </c>
      <c r="AQ233" s="19">
        <v>0</v>
      </c>
      <c r="AR233" s="19">
        <v>96.757564986806528</v>
      </c>
      <c r="AS233" s="23">
        <v>1000.8235649868066</v>
      </c>
    </row>
    <row r="234" spans="5:45">
      <c r="E234" s="35" t="str">
        <f t="shared" si="57"/>
        <v/>
      </c>
      <c r="F234" s="19">
        <v>462</v>
      </c>
      <c r="G234" s="19">
        <v>915.09199999999998</v>
      </c>
      <c r="H234" s="19">
        <v>2</v>
      </c>
      <c r="I234" s="19">
        <v>1.8</v>
      </c>
      <c r="J234" s="36">
        <v>4.0831050228310497</v>
      </c>
      <c r="K234" s="36">
        <v>1.6045588828318709</v>
      </c>
      <c r="L234" s="37">
        <v>2555934.503625989</v>
      </c>
      <c r="M234" s="37" t="s">
        <v>96</v>
      </c>
      <c r="N234" s="23">
        <v>155.87469742523433</v>
      </c>
      <c r="O234" s="57">
        <v>142.94795485270095</v>
      </c>
      <c r="P234" s="66">
        <v>11.25</v>
      </c>
      <c r="Q234" s="68">
        <v>992548.40161508287</v>
      </c>
      <c r="R234" s="27">
        <v>8.7463077071963571E-3</v>
      </c>
      <c r="S234" s="19">
        <v>1.2752477269849725</v>
      </c>
      <c r="T234" s="19">
        <v>7.8734226558858159E-2</v>
      </c>
      <c r="U234" s="19">
        <v>1.3539819535438307</v>
      </c>
      <c r="V234" s="19">
        <v>0</v>
      </c>
      <c r="W234" s="19">
        <v>155.87469742523433</v>
      </c>
      <c r="X234" s="23">
        <v>1070.9666974252343</v>
      </c>
      <c r="Y234" s="22">
        <v>9.8211436332891755E-3</v>
      </c>
      <c r="Z234" s="19">
        <v>1.431963236834217</v>
      </c>
      <c r="AA234" s="19">
        <v>7.8734226558858159E-2</v>
      </c>
      <c r="AB234" s="19">
        <v>1.5106974633930752</v>
      </c>
      <c r="AC234" s="19">
        <v>0</v>
      </c>
      <c r="AD234" s="19">
        <v>142.94795485270095</v>
      </c>
      <c r="AE234" s="23">
        <v>1058.0399548527009</v>
      </c>
      <c r="AF234" s="27">
        <v>1.1575055557914658E-2</v>
      </c>
      <c r="AG234" s="19">
        <v>1.6876908272744866</v>
      </c>
      <c r="AH234" s="19">
        <v>7.8734226558858159E-2</v>
      </c>
      <c r="AI234" s="19">
        <v>1.7664250538333448</v>
      </c>
      <c r="AJ234" s="19">
        <v>0</v>
      </c>
      <c r="AK234" s="19">
        <v>121.87128914374273</v>
      </c>
      <c r="AL234" s="23">
        <v>1036.9632891437427</v>
      </c>
      <c r="AM234" s="22">
        <v>1.4709705891825043E-2</v>
      </c>
      <c r="AN234" s="19">
        <v>2.1543104841910781</v>
      </c>
      <c r="AO234" s="19">
        <v>7.8734226558858159E-2</v>
      </c>
      <c r="AP234" s="19">
        <v>2.2330447107499363</v>
      </c>
      <c r="AQ234" s="19">
        <v>0</v>
      </c>
      <c r="AR234" s="19">
        <v>83.498520276056638</v>
      </c>
      <c r="AS234" s="23">
        <v>998.59052027605662</v>
      </c>
    </row>
    <row r="235" spans="5:45">
      <c r="E235" s="35" t="str">
        <f t="shared" si="57"/>
        <v/>
      </c>
      <c r="F235" s="19">
        <v>464</v>
      </c>
      <c r="G235" s="19">
        <v>905.55600000000004</v>
      </c>
      <c r="H235" s="19">
        <v>2</v>
      </c>
      <c r="I235" s="19">
        <v>1.8</v>
      </c>
      <c r="J235" s="36">
        <v>4.0831050228310497</v>
      </c>
      <c r="K235" s="36">
        <v>1.6045588828318709</v>
      </c>
      <c r="L235" s="37">
        <v>2555934.503625989</v>
      </c>
      <c r="M235" s="37" t="s">
        <v>96</v>
      </c>
      <c r="N235" s="23">
        <v>164.0567154716905</v>
      </c>
      <c r="O235" s="57">
        <v>150.97325738930772</v>
      </c>
      <c r="P235" s="66">
        <v>11.25</v>
      </c>
      <c r="Q235" s="68">
        <v>992548.40161508287</v>
      </c>
      <c r="R235" s="27">
        <v>8.7463077071963571E-3</v>
      </c>
      <c r="S235" s="19">
        <v>1.2752477269849725</v>
      </c>
      <c r="T235" s="19">
        <v>7.8734226558858159E-2</v>
      </c>
      <c r="U235" s="19">
        <v>1.3539819535438307</v>
      </c>
      <c r="V235" s="19">
        <v>0</v>
      </c>
      <c r="W235" s="19">
        <v>164.0567154716905</v>
      </c>
      <c r="X235" s="23">
        <v>1069.6127154716905</v>
      </c>
      <c r="Y235" s="22">
        <v>9.8211436332891755E-3</v>
      </c>
      <c r="Z235" s="19">
        <v>1.431963236834217</v>
      </c>
      <c r="AA235" s="19">
        <v>7.8734226558858159E-2</v>
      </c>
      <c r="AB235" s="19">
        <v>1.5106974633930752</v>
      </c>
      <c r="AC235" s="19">
        <v>0</v>
      </c>
      <c r="AD235" s="19">
        <v>150.97325738930772</v>
      </c>
      <c r="AE235" s="23">
        <v>1056.5292573893078</v>
      </c>
      <c r="AF235" s="27">
        <v>1.1575055557914658E-2</v>
      </c>
      <c r="AG235" s="19">
        <v>1.6876908272744866</v>
      </c>
      <c r="AH235" s="19">
        <v>7.8734226558858159E-2</v>
      </c>
      <c r="AI235" s="19">
        <v>1.7664250538333448</v>
      </c>
      <c r="AJ235" s="19">
        <v>0</v>
      </c>
      <c r="AK235" s="19">
        <v>129.64086408990943</v>
      </c>
      <c r="AL235" s="23">
        <v>1035.1968640899095</v>
      </c>
      <c r="AM235" s="22">
        <v>1.4709705891825043E-2</v>
      </c>
      <c r="AN235" s="19">
        <v>2.1543104841910781</v>
      </c>
      <c r="AO235" s="19">
        <v>7.8734226558858159E-2</v>
      </c>
      <c r="AP235" s="19">
        <v>2.2330447107499363</v>
      </c>
      <c r="AQ235" s="19">
        <v>0</v>
      </c>
      <c r="AR235" s="19">
        <v>90.801475565306646</v>
      </c>
      <c r="AS235" s="23">
        <v>996.35747556530669</v>
      </c>
    </row>
    <row r="236" spans="5:45">
      <c r="E236" s="35" t="str">
        <f t="shared" si="57"/>
        <v/>
      </c>
      <c r="F236" s="19">
        <v>466</v>
      </c>
      <c r="G236" s="19">
        <v>905.27099999999996</v>
      </c>
      <c r="H236" s="19">
        <v>2</v>
      </c>
      <c r="I236" s="19">
        <v>1.8</v>
      </c>
      <c r="J236" s="36">
        <v>4.0831050228310497</v>
      </c>
      <c r="K236" s="36">
        <v>1.6045588828318709</v>
      </c>
      <c r="L236" s="37">
        <v>2555934.503625989</v>
      </c>
      <c r="M236" s="37" t="s">
        <v>96</v>
      </c>
      <c r="N236" s="23">
        <v>162.9877335181468</v>
      </c>
      <c r="O236" s="57">
        <v>149.74755992591463</v>
      </c>
      <c r="P236" s="66">
        <v>11.25</v>
      </c>
      <c r="Q236" s="68">
        <v>992548.40161508287</v>
      </c>
      <c r="R236" s="27">
        <v>8.7463077071963571E-3</v>
      </c>
      <c r="S236" s="19">
        <v>1.2752477269849725</v>
      </c>
      <c r="T236" s="19">
        <v>7.8734226558858159E-2</v>
      </c>
      <c r="U236" s="19">
        <v>1.3539819535438307</v>
      </c>
      <c r="V236" s="19">
        <v>0</v>
      </c>
      <c r="W236" s="19">
        <v>162.9877335181468</v>
      </c>
      <c r="X236" s="23">
        <v>1068.2587335181468</v>
      </c>
      <c r="Y236" s="22">
        <v>9.8211436332891755E-3</v>
      </c>
      <c r="Z236" s="19">
        <v>1.431963236834217</v>
      </c>
      <c r="AA236" s="19">
        <v>7.8734226558858159E-2</v>
      </c>
      <c r="AB236" s="19">
        <v>1.5106974633930752</v>
      </c>
      <c r="AC236" s="19">
        <v>0</v>
      </c>
      <c r="AD236" s="19">
        <v>149.74755992591463</v>
      </c>
      <c r="AE236" s="23">
        <v>1055.0185599259146</v>
      </c>
      <c r="AF236" s="27">
        <v>1.1575055557914658E-2</v>
      </c>
      <c r="AG236" s="19">
        <v>1.6876908272744866</v>
      </c>
      <c r="AH236" s="19">
        <v>7.8734226558858159E-2</v>
      </c>
      <c r="AI236" s="19">
        <v>1.7664250538333448</v>
      </c>
      <c r="AJ236" s="19">
        <v>0</v>
      </c>
      <c r="AK236" s="19">
        <v>128.15943903607626</v>
      </c>
      <c r="AL236" s="23">
        <v>1033.4304390360762</v>
      </c>
      <c r="AM236" s="22">
        <v>1.4709705891825043E-2</v>
      </c>
      <c r="AN236" s="19">
        <v>2.1543104841910781</v>
      </c>
      <c r="AO236" s="19">
        <v>7.8734226558858159E-2</v>
      </c>
      <c r="AP236" s="19">
        <v>2.2330447107499363</v>
      </c>
      <c r="AQ236" s="19">
        <v>0</v>
      </c>
      <c r="AR236" s="19">
        <v>88.853430854556791</v>
      </c>
      <c r="AS236" s="23">
        <v>994.12443085455675</v>
      </c>
    </row>
    <row r="237" spans="5:45">
      <c r="E237" s="35" t="str">
        <f t="shared" si="57"/>
        <v/>
      </c>
      <c r="F237" s="19">
        <v>468</v>
      </c>
      <c r="G237" s="19">
        <v>901.91800000000001</v>
      </c>
      <c r="H237" s="19">
        <v>2</v>
      </c>
      <c r="I237" s="19">
        <v>1.8</v>
      </c>
      <c r="J237" s="36">
        <v>4.0831050228310497</v>
      </c>
      <c r="K237" s="36">
        <v>1.6045588828318709</v>
      </c>
      <c r="L237" s="37">
        <v>2555934.503625989</v>
      </c>
      <c r="M237" s="37" t="s">
        <v>96</v>
      </c>
      <c r="N237" s="23">
        <v>164.98675156460297</v>
      </c>
      <c r="O237" s="57">
        <v>151.58986246252141</v>
      </c>
      <c r="P237" s="66">
        <v>11.25</v>
      </c>
      <c r="Q237" s="68">
        <v>992548.40161508287</v>
      </c>
      <c r="R237" s="27">
        <v>8.7463077071963571E-3</v>
      </c>
      <c r="S237" s="19">
        <v>1.2752477269849725</v>
      </c>
      <c r="T237" s="19">
        <v>7.8734226558858159E-2</v>
      </c>
      <c r="U237" s="19">
        <v>1.3539819535438307</v>
      </c>
      <c r="V237" s="19">
        <v>0</v>
      </c>
      <c r="W237" s="19">
        <v>164.98675156460297</v>
      </c>
      <c r="X237" s="23">
        <v>1066.904751564603</v>
      </c>
      <c r="Y237" s="22">
        <v>9.8211436332891755E-3</v>
      </c>
      <c r="Z237" s="19">
        <v>1.431963236834217</v>
      </c>
      <c r="AA237" s="19">
        <v>7.8734226558858159E-2</v>
      </c>
      <c r="AB237" s="19">
        <v>1.5106974633930752</v>
      </c>
      <c r="AC237" s="19">
        <v>0</v>
      </c>
      <c r="AD237" s="19">
        <v>151.58986246252141</v>
      </c>
      <c r="AE237" s="23">
        <v>1053.5078624625214</v>
      </c>
      <c r="AF237" s="27">
        <v>1.1575055557914658E-2</v>
      </c>
      <c r="AG237" s="19">
        <v>1.6876908272744866</v>
      </c>
      <c r="AH237" s="19">
        <v>7.8734226558858159E-2</v>
      </c>
      <c r="AI237" s="19">
        <v>1.7664250538333448</v>
      </c>
      <c r="AJ237" s="19">
        <v>0</v>
      </c>
      <c r="AK237" s="19">
        <v>129.74601398224297</v>
      </c>
      <c r="AL237" s="23">
        <v>1031.664013982243</v>
      </c>
      <c r="AM237" s="22">
        <v>1.4709705891825043E-2</v>
      </c>
      <c r="AN237" s="19">
        <v>2.1543104841910781</v>
      </c>
      <c r="AO237" s="19">
        <v>7.8734226558858159E-2</v>
      </c>
      <c r="AP237" s="19">
        <v>2.2330447107499363</v>
      </c>
      <c r="AQ237" s="19">
        <v>0</v>
      </c>
      <c r="AR237" s="19">
        <v>89.973386143806806</v>
      </c>
      <c r="AS237" s="23">
        <v>991.89138614380681</v>
      </c>
    </row>
    <row r="238" spans="5:45">
      <c r="E238" s="35" t="str">
        <f t="shared" si="57"/>
        <v/>
      </c>
      <c r="F238" s="19">
        <v>470</v>
      </c>
      <c r="G238" s="19">
        <v>895.65099999999995</v>
      </c>
      <c r="H238" s="19">
        <v>2</v>
      </c>
      <c r="I238" s="19">
        <v>1.8</v>
      </c>
      <c r="J238" s="36">
        <v>4.0831050228310497</v>
      </c>
      <c r="K238" s="36">
        <v>1.6045588828318709</v>
      </c>
      <c r="L238" s="37">
        <v>2555934.503625989</v>
      </c>
      <c r="M238" s="37" t="s">
        <v>96</v>
      </c>
      <c r="N238" s="23">
        <v>169.89976961105924</v>
      </c>
      <c r="O238" s="57">
        <v>156.34616499912829</v>
      </c>
      <c r="P238" s="66">
        <v>11.25</v>
      </c>
      <c r="Q238" s="68">
        <v>992548.40161508287</v>
      </c>
      <c r="R238" s="27">
        <v>8.7463077071963571E-3</v>
      </c>
      <c r="S238" s="19">
        <v>1.2752477269849725</v>
      </c>
      <c r="T238" s="19">
        <v>7.8734226558858159E-2</v>
      </c>
      <c r="U238" s="19">
        <v>1.3539819535438307</v>
      </c>
      <c r="V238" s="19">
        <v>0</v>
      </c>
      <c r="W238" s="19">
        <v>169.89976961105924</v>
      </c>
      <c r="X238" s="23">
        <v>1065.5507696110592</v>
      </c>
      <c r="Y238" s="22">
        <v>9.8211436332891755E-3</v>
      </c>
      <c r="Z238" s="19">
        <v>1.431963236834217</v>
      </c>
      <c r="AA238" s="19">
        <v>7.8734226558858159E-2</v>
      </c>
      <c r="AB238" s="19">
        <v>1.5106974633930752</v>
      </c>
      <c r="AC238" s="19">
        <v>0</v>
      </c>
      <c r="AD238" s="19">
        <v>156.34616499912829</v>
      </c>
      <c r="AE238" s="23">
        <v>1051.9971649991282</v>
      </c>
      <c r="AF238" s="27">
        <v>1.1575055557914658E-2</v>
      </c>
      <c r="AG238" s="19">
        <v>1.6876908272744866</v>
      </c>
      <c r="AH238" s="19">
        <v>7.8734226558858159E-2</v>
      </c>
      <c r="AI238" s="19">
        <v>1.7664250538333448</v>
      </c>
      <c r="AJ238" s="19">
        <v>0</v>
      </c>
      <c r="AK238" s="19">
        <v>134.24658892840978</v>
      </c>
      <c r="AL238" s="23">
        <v>1029.8975889284097</v>
      </c>
      <c r="AM238" s="22">
        <v>1.4709705891825043E-2</v>
      </c>
      <c r="AN238" s="19">
        <v>2.1543104841910781</v>
      </c>
      <c r="AO238" s="19">
        <v>7.8734226558858159E-2</v>
      </c>
      <c r="AP238" s="19">
        <v>2.2330447107499363</v>
      </c>
      <c r="AQ238" s="19">
        <v>0</v>
      </c>
      <c r="AR238" s="19">
        <v>94.007341433056922</v>
      </c>
      <c r="AS238" s="23">
        <v>989.65834143305688</v>
      </c>
    </row>
    <row r="239" spans="5:45">
      <c r="E239" s="35" t="str">
        <f t="shared" si="57"/>
        <v/>
      </c>
      <c r="F239" s="19">
        <v>472</v>
      </c>
      <c r="G239" s="19">
        <v>892.30399999999997</v>
      </c>
      <c r="H239" s="19">
        <v>2</v>
      </c>
      <c r="I239" s="19">
        <v>1.8</v>
      </c>
      <c r="J239" s="36">
        <v>4.0831050228310497</v>
      </c>
      <c r="K239" s="36">
        <v>1.6045588828318709</v>
      </c>
      <c r="L239" s="37">
        <v>2555934.503625989</v>
      </c>
      <c r="M239" s="37" t="s">
        <v>96</v>
      </c>
      <c r="N239" s="23">
        <v>171.89278765751544</v>
      </c>
      <c r="O239" s="57">
        <v>158.1824675357351</v>
      </c>
      <c r="P239" s="66">
        <v>11.25</v>
      </c>
      <c r="Q239" s="68">
        <v>992548.40161508287</v>
      </c>
      <c r="R239" s="27">
        <v>8.7463077071963571E-3</v>
      </c>
      <c r="S239" s="19">
        <v>1.2752477269849725</v>
      </c>
      <c r="T239" s="19">
        <v>7.8734226558858159E-2</v>
      </c>
      <c r="U239" s="19">
        <v>1.3539819535438307</v>
      </c>
      <c r="V239" s="19">
        <v>0</v>
      </c>
      <c r="W239" s="19">
        <v>171.89278765751544</v>
      </c>
      <c r="X239" s="23">
        <v>1064.1967876575154</v>
      </c>
      <c r="Y239" s="22">
        <v>9.8211436332891755E-3</v>
      </c>
      <c r="Z239" s="19">
        <v>1.431963236834217</v>
      </c>
      <c r="AA239" s="19">
        <v>7.8734226558858159E-2</v>
      </c>
      <c r="AB239" s="19">
        <v>1.5106974633930752</v>
      </c>
      <c r="AC239" s="19">
        <v>0</v>
      </c>
      <c r="AD239" s="19">
        <v>158.1824675357351</v>
      </c>
      <c r="AE239" s="23">
        <v>1050.4864675357351</v>
      </c>
      <c r="AF239" s="27">
        <v>1.1575055557914658E-2</v>
      </c>
      <c r="AG239" s="19">
        <v>1.6876908272744866</v>
      </c>
      <c r="AH239" s="19">
        <v>7.8734226558858159E-2</v>
      </c>
      <c r="AI239" s="19">
        <v>1.7664250538333448</v>
      </c>
      <c r="AJ239" s="19">
        <v>0</v>
      </c>
      <c r="AK239" s="19">
        <v>135.82716387457651</v>
      </c>
      <c r="AL239" s="23">
        <v>1028.1311638745765</v>
      </c>
      <c r="AM239" s="22">
        <v>1.4709705891825043E-2</v>
      </c>
      <c r="AN239" s="19">
        <v>2.1543104841910781</v>
      </c>
      <c r="AO239" s="19">
        <v>7.8734226558858159E-2</v>
      </c>
      <c r="AP239" s="19">
        <v>2.2330447107499363</v>
      </c>
      <c r="AQ239" s="19">
        <v>0</v>
      </c>
      <c r="AR239" s="19">
        <v>95.121296722306965</v>
      </c>
      <c r="AS239" s="23">
        <v>987.42529672230694</v>
      </c>
    </row>
    <row r="240" spans="5:45">
      <c r="E240" s="35" t="str">
        <f t="shared" si="57"/>
        <v/>
      </c>
      <c r="F240" s="19">
        <v>474</v>
      </c>
      <c r="G240" s="19">
        <v>895.279</v>
      </c>
      <c r="H240" s="19">
        <v>2</v>
      </c>
      <c r="I240" s="19">
        <v>1.8</v>
      </c>
      <c r="J240" s="36">
        <v>4.0831050228310497</v>
      </c>
      <c r="K240" s="36">
        <v>1.6045588828318709</v>
      </c>
      <c r="L240" s="37">
        <v>2555934.503625989</v>
      </c>
      <c r="M240" s="37" t="s">
        <v>96</v>
      </c>
      <c r="N240" s="23">
        <v>167.56380570397164</v>
      </c>
      <c r="O240" s="57">
        <v>153.69677007234191</v>
      </c>
      <c r="P240" s="66">
        <v>11.25</v>
      </c>
      <c r="Q240" s="68">
        <v>992548.40161508287</v>
      </c>
      <c r="R240" s="27">
        <v>8.7463077071963571E-3</v>
      </c>
      <c r="S240" s="19">
        <v>1.2752477269849725</v>
      </c>
      <c r="T240" s="19">
        <v>7.8734226558858159E-2</v>
      </c>
      <c r="U240" s="19">
        <v>1.3539819535438307</v>
      </c>
      <c r="V240" s="19">
        <v>0</v>
      </c>
      <c r="W240" s="19">
        <v>167.56380570397164</v>
      </c>
      <c r="X240" s="23">
        <v>1062.8428057039716</v>
      </c>
      <c r="Y240" s="22">
        <v>9.8211436332891755E-3</v>
      </c>
      <c r="Z240" s="19">
        <v>1.431963236834217</v>
      </c>
      <c r="AA240" s="19">
        <v>7.8734226558858159E-2</v>
      </c>
      <c r="AB240" s="19">
        <v>1.5106974633930752</v>
      </c>
      <c r="AC240" s="19">
        <v>0</v>
      </c>
      <c r="AD240" s="19">
        <v>153.69677007234191</v>
      </c>
      <c r="AE240" s="23">
        <v>1048.9757700723419</v>
      </c>
      <c r="AF240" s="27">
        <v>1.1575055557914658E-2</v>
      </c>
      <c r="AG240" s="19">
        <v>1.6876908272744866</v>
      </c>
      <c r="AH240" s="19">
        <v>7.8734226558858159E-2</v>
      </c>
      <c r="AI240" s="19">
        <v>1.7664250538333448</v>
      </c>
      <c r="AJ240" s="19">
        <v>0</v>
      </c>
      <c r="AK240" s="19">
        <v>131.08573882074325</v>
      </c>
      <c r="AL240" s="23">
        <v>1026.3647388207432</v>
      </c>
      <c r="AM240" s="22">
        <v>1.4709705891825043E-2</v>
      </c>
      <c r="AN240" s="19">
        <v>2.1543104841910781</v>
      </c>
      <c r="AO240" s="19">
        <v>7.8734226558858159E-2</v>
      </c>
      <c r="AP240" s="19">
        <v>2.2330447107499363</v>
      </c>
      <c r="AQ240" s="19">
        <v>0</v>
      </c>
      <c r="AR240" s="19">
        <v>89.913252011557006</v>
      </c>
      <c r="AS240" s="23">
        <v>985.192252011557</v>
      </c>
    </row>
    <row r="241" spans="5:45">
      <c r="E241" s="35" t="str">
        <f t="shared" si="57"/>
        <v/>
      </c>
      <c r="F241" s="19">
        <v>476</v>
      </c>
      <c r="G241" s="19">
        <v>896.81799999999998</v>
      </c>
      <c r="H241" s="19">
        <v>2</v>
      </c>
      <c r="I241" s="19">
        <v>1.8</v>
      </c>
      <c r="J241" s="36">
        <v>4.0831050228310497</v>
      </c>
      <c r="K241" s="36">
        <v>1.6045588828318709</v>
      </c>
      <c r="L241" s="37">
        <v>2555934.503625989</v>
      </c>
      <c r="M241" s="37" t="s">
        <v>96</v>
      </c>
      <c r="N241" s="23">
        <v>164.67082375042787</v>
      </c>
      <c r="O241" s="57">
        <v>150.64707260894875</v>
      </c>
      <c r="P241" s="66">
        <v>11.25</v>
      </c>
      <c r="Q241" s="68">
        <v>992548.40161508287</v>
      </c>
      <c r="R241" s="27">
        <v>8.7463077071963571E-3</v>
      </c>
      <c r="S241" s="19">
        <v>1.2752477269849725</v>
      </c>
      <c r="T241" s="19">
        <v>7.8734226558858159E-2</v>
      </c>
      <c r="U241" s="19">
        <v>1.3539819535438307</v>
      </c>
      <c r="V241" s="19">
        <v>0</v>
      </c>
      <c r="W241" s="19">
        <v>164.67082375042787</v>
      </c>
      <c r="X241" s="23">
        <v>1061.4888237504279</v>
      </c>
      <c r="Y241" s="22">
        <v>9.8211436332891755E-3</v>
      </c>
      <c r="Z241" s="19">
        <v>1.431963236834217</v>
      </c>
      <c r="AA241" s="19">
        <v>7.8734226558858159E-2</v>
      </c>
      <c r="AB241" s="19">
        <v>1.5106974633930752</v>
      </c>
      <c r="AC241" s="19">
        <v>0</v>
      </c>
      <c r="AD241" s="19">
        <v>150.64707260894875</v>
      </c>
      <c r="AE241" s="23">
        <v>1047.4650726089487</v>
      </c>
      <c r="AF241" s="27">
        <v>1.1575055557914658E-2</v>
      </c>
      <c r="AG241" s="19">
        <v>1.6876908272744866</v>
      </c>
      <c r="AH241" s="19">
        <v>7.8734226558858159E-2</v>
      </c>
      <c r="AI241" s="19">
        <v>1.7664250538333448</v>
      </c>
      <c r="AJ241" s="19">
        <v>0</v>
      </c>
      <c r="AK241" s="19">
        <v>127.78031376691001</v>
      </c>
      <c r="AL241" s="23">
        <v>1024.59831376691</v>
      </c>
      <c r="AM241" s="22">
        <v>1.4709705891825043E-2</v>
      </c>
      <c r="AN241" s="19">
        <v>2.1543104841910781</v>
      </c>
      <c r="AO241" s="19">
        <v>7.8734226558858159E-2</v>
      </c>
      <c r="AP241" s="19">
        <v>2.2330447107499363</v>
      </c>
      <c r="AQ241" s="19">
        <v>0</v>
      </c>
      <c r="AR241" s="19">
        <v>86.141207300807082</v>
      </c>
      <c r="AS241" s="23">
        <v>982.95920730080707</v>
      </c>
    </row>
    <row r="242" spans="5:45">
      <c r="E242" s="35" t="str">
        <f t="shared" si="57"/>
        <v/>
      </c>
      <c r="F242" s="19">
        <v>478</v>
      </c>
      <c r="G242" s="19">
        <v>909.92100000000005</v>
      </c>
      <c r="H242" s="19">
        <v>2</v>
      </c>
      <c r="I242" s="19">
        <v>1.5</v>
      </c>
      <c r="J242" s="36">
        <v>4.0831050228310497</v>
      </c>
      <c r="K242" s="36">
        <v>2.3105647912778942</v>
      </c>
      <c r="L242" s="37">
        <v>3067121.4043511869</v>
      </c>
      <c r="M242" s="37" t="s">
        <v>96</v>
      </c>
      <c r="N242" s="23">
        <v>148.13521292747646</v>
      </c>
      <c r="O242" s="57">
        <v>133.70309640484561</v>
      </c>
      <c r="P242" s="66">
        <v>9.375</v>
      </c>
      <c r="Q242" s="68">
        <v>689269.72334380972</v>
      </c>
      <c r="R242" s="27">
        <v>9.0112502883211744E-3</v>
      </c>
      <c r="S242" s="19">
        <v>3.2693475307588078</v>
      </c>
      <c r="T242" s="19">
        <v>0.16326329219244826</v>
      </c>
      <c r="U242" s="19">
        <v>3.432610822951256</v>
      </c>
      <c r="V242" s="19">
        <v>0</v>
      </c>
      <c r="W242" s="19">
        <v>148.13521292747646</v>
      </c>
      <c r="X242" s="23">
        <v>1058.0562129274765</v>
      </c>
      <c r="Y242" s="22">
        <v>1.0136821254400123E-2</v>
      </c>
      <c r="Z242" s="19">
        <v>3.6777129119105498</v>
      </c>
      <c r="AA242" s="19">
        <v>0.16326329219244826</v>
      </c>
      <c r="AB242" s="19">
        <v>3.840976204102998</v>
      </c>
      <c r="AC242" s="19">
        <v>0</v>
      </c>
      <c r="AD242" s="19">
        <v>133.70309640484561</v>
      </c>
      <c r="AE242" s="23">
        <v>1043.6240964048457</v>
      </c>
      <c r="AF242" s="27">
        <v>1.1979797083255311E-2</v>
      </c>
      <c r="AG242" s="19">
        <v>4.3463580257994474</v>
      </c>
      <c r="AH242" s="19">
        <v>0.16326329219244826</v>
      </c>
      <c r="AI242" s="19">
        <v>4.509621317991896</v>
      </c>
      <c r="AJ242" s="19">
        <v>0</v>
      </c>
      <c r="AK242" s="19">
        <v>110.16769244891805</v>
      </c>
      <c r="AL242" s="23">
        <v>1020.0886924489181</v>
      </c>
      <c r="AM242" s="22">
        <v>1.5294398771411635E-2</v>
      </c>
      <c r="AN242" s="19">
        <v>5.5786726888400349</v>
      </c>
      <c r="AO242" s="19">
        <v>0.16326329219244826</v>
      </c>
      <c r="AP242" s="19">
        <v>5.7419359810324835</v>
      </c>
      <c r="AQ242" s="19">
        <v>0</v>
      </c>
      <c r="AR242" s="19">
        <v>67.296271319774519</v>
      </c>
      <c r="AS242" s="23">
        <v>977.21727131977457</v>
      </c>
    </row>
    <row r="243" spans="5:45">
      <c r="E243" s="35" t="str">
        <f t="shared" si="57"/>
        <v/>
      </c>
      <c r="F243" s="19">
        <v>480</v>
      </c>
      <c r="G243" s="19">
        <v>926.29499999999996</v>
      </c>
      <c r="H243" s="19">
        <v>2</v>
      </c>
      <c r="I243" s="19">
        <v>1.5</v>
      </c>
      <c r="J243" s="36">
        <v>4.0831050228310497</v>
      </c>
      <c r="K243" s="36">
        <v>2.3105647912778942</v>
      </c>
      <c r="L243" s="37">
        <v>3067121.4043511869</v>
      </c>
      <c r="M243" s="37" t="s">
        <v>96</v>
      </c>
      <c r="N243" s="23">
        <v>128.3286021045252</v>
      </c>
      <c r="O243" s="57">
        <v>113.48812020074263</v>
      </c>
      <c r="P243" s="66">
        <v>9.375</v>
      </c>
      <c r="Q243" s="68">
        <v>689269.72334380972</v>
      </c>
      <c r="R243" s="27">
        <v>9.0112502883211744E-3</v>
      </c>
      <c r="S243" s="19">
        <v>3.2693475307588078</v>
      </c>
      <c r="T243" s="19">
        <v>0.16326329219244826</v>
      </c>
      <c r="U243" s="19">
        <v>3.432610822951256</v>
      </c>
      <c r="V243" s="19">
        <v>0</v>
      </c>
      <c r="W243" s="19">
        <v>128.3286021045252</v>
      </c>
      <c r="X243" s="23">
        <v>1054.6236021045252</v>
      </c>
      <c r="Y243" s="22">
        <v>1.0136821254400123E-2</v>
      </c>
      <c r="Z243" s="19">
        <v>3.6777129119105498</v>
      </c>
      <c r="AA243" s="19">
        <v>0.16326329219244826</v>
      </c>
      <c r="AB243" s="19">
        <v>3.840976204102998</v>
      </c>
      <c r="AC243" s="19">
        <v>0</v>
      </c>
      <c r="AD243" s="19">
        <v>113.48812020074263</v>
      </c>
      <c r="AE243" s="23">
        <v>1039.7831202007426</v>
      </c>
      <c r="AF243" s="27">
        <v>1.1979797083255311E-2</v>
      </c>
      <c r="AG243" s="19">
        <v>4.3463580257994474</v>
      </c>
      <c r="AH243" s="19">
        <v>0.16326329219244826</v>
      </c>
      <c r="AI243" s="19">
        <v>4.509621317991896</v>
      </c>
      <c r="AJ243" s="19">
        <v>0</v>
      </c>
      <c r="AK243" s="19">
        <v>89.284071130926236</v>
      </c>
      <c r="AL243" s="23">
        <v>1015.5790711309262</v>
      </c>
      <c r="AM243" s="22">
        <v>1.5294398771411635E-2</v>
      </c>
      <c r="AN243" s="19">
        <v>5.5786726888400349</v>
      </c>
      <c r="AO243" s="19">
        <v>0.16326329219244826</v>
      </c>
      <c r="AP243" s="19">
        <v>5.7419359810324835</v>
      </c>
      <c r="AQ243" s="19">
        <v>0</v>
      </c>
      <c r="AR243" s="19">
        <v>45.180335338742111</v>
      </c>
      <c r="AS243" s="23">
        <v>971.47533533874207</v>
      </c>
    </row>
    <row r="244" spans="5:45">
      <c r="E244" s="35" t="str">
        <f t="shared" si="57"/>
        <v/>
      </c>
      <c r="F244" s="19">
        <v>482</v>
      </c>
      <c r="G244" s="19">
        <v>924.88800000000003</v>
      </c>
      <c r="H244" s="19">
        <v>2</v>
      </c>
      <c r="I244" s="19">
        <v>1.5</v>
      </c>
      <c r="J244" s="36">
        <v>4.0831050228310497</v>
      </c>
      <c r="K244" s="36">
        <v>2.3105647912778942</v>
      </c>
      <c r="L244" s="37">
        <v>3067121.4043511869</v>
      </c>
      <c r="M244" s="37" t="s">
        <v>96</v>
      </c>
      <c r="N244" s="23">
        <v>126.30299128157378</v>
      </c>
      <c r="O244" s="57">
        <v>111.05414399663948</v>
      </c>
      <c r="P244" s="66">
        <v>9.375</v>
      </c>
      <c r="Q244" s="68">
        <v>689269.72334380972</v>
      </c>
      <c r="R244" s="27">
        <v>9.0112502883211744E-3</v>
      </c>
      <c r="S244" s="19">
        <v>3.2693475307588078</v>
      </c>
      <c r="T244" s="19">
        <v>0.16326329219244826</v>
      </c>
      <c r="U244" s="19">
        <v>3.432610822951256</v>
      </c>
      <c r="V244" s="19">
        <v>0</v>
      </c>
      <c r="W244" s="19">
        <v>126.30299128157378</v>
      </c>
      <c r="X244" s="23">
        <v>1051.1909912815738</v>
      </c>
      <c r="Y244" s="22">
        <v>1.0136821254400123E-2</v>
      </c>
      <c r="Z244" s="19">
        <v>3.6777129119105498</v>
      </c>
      <c r="AA244" s="19">
        <v>0.16326329219244826</v>
      </c>
      <c r="AB244" s="19">
        <v>3.840976204102998</v>
      </c>
      <c r="AC244" s="19">
        <v>0</v>
      </c>
      <c r="AD244" s="19">
        <v>111.05414399663948</v>
      </c>
      <c r="AE244" s="23">
        <v>1035.9421439966395</v>
      </c>
      <c r="AF244" s="27">
        <v>1.1979797083255311E-2</v>
      </c>
      <c r="AG244" s="19">
        <v>4.3463580257994474</v>
      </c>
      <c r="AH244" s="19">
        <v>0.16326329219244826</v>
      </c>
      <c r="AI244" s="19">
        <v>4.509621317991896</v>
      </c>
      <c r="AJ244" s="19">
        <v>0</v>
      </c>
      <c r="AK244" s="19">
        <v>86.181449812934261</v>
      </c>
      <c r="AL244" s="23">
        <v>1011.0694498129343</v>
      </c>
      <c r="AM244" s="22">
        <v>1.5294398771411635E-2</v>
      </c>
      <c r="AN244" s="19">
        <v>5.5786726888400349</v>
      </c>
      <c r="AO244" s="19">
        <v>0.16326329219244826</v>
      </c>
      <c r="AP244" s="19">
        <v>5.7419359810324835</v>
      </c>
      <c r="AQ244" s="19">
        <v>0</v>
      </c>
      <c r="AR244" s="19">
        <v>40.845399357709539</v>
      </c>
      <c r="AS244" s="23">
        <v>965.73339935770957</v>
      </c>
    </row>
    <row r="245" spans="5:45">
      <c r="E245" s="35" t="str">
        <f t="shared" si="57"/>
        <v/>
      </c>
      <c r="F245" s="19">
        <v>484</v>
      </c>
      <c r="G245" s="19">
        <v>919.04399999999998</v>
      </c>
      <c r="H245" s="19">
        <v>2</v>
      </c>
      <c r="I245" s="19">
        <v>1.5</v>
      </c>
      <c r="J245" s="36">
        <v>4.0831050228310497</v>
      </c>
      <c r="K245" s="36">
        <v>2.3105647912778942</v>
      </c>
      <c r="L245" s="37">
        <v>3067121.4043511869</v>
      </c>
      <c r="M245" s="37" t="s">
        <v>96</v>
      </c>
      <c r="N245" s="23">
        <v>128.71438045862249</v>
      </c>
      <c r="O245" s="57">
        <v>113.05716779253646</v>
      </c>
      <c r="P245" s="66">
        <v>9.375</v>
      </c>
      <c r="Q245" s="68">
        <v>689269.72334380972</v>
      </c>
      <c r="R245" s="27">
        <v>9.0112502883211744E-3</v>
      </c>
      <c r="S245" s="19">
        <v>3.2693475307588078</v>
      </c>
      <c r="T245" s="19">
        <v>0.16326329219244826</v>
      </c>
      <c r="U245" s="19">
        <v>3.432610822951256</v>
      </c>
      <c r="V245" s="19">
        <v>0</v>
      </c>
      <c r="W245" s="19">
        <v>128.71438045862249</v>
      </c>
      <c r="X245" s="23">
        <v>1047.7583804586225</v>
      </c>
      <c r="Y245" s="22">
        <v>1.0136821254400123E-2</v>
      </c>
      <c r="Z245" s="19">
        <v>3.6777129119105498</v>
      </c>
      <c r="AA245" s="19">
        <v>0.16326329219244826</v>
      </c>
      <c r="AB245" s="19">
        <v>3.840976204102998</v>
      </c>
      <c r="AC245" s="19">
        <v>0</v>
      </c>
      <c r="AD245" s="19">
        <v>113.05716779253646</v>
      </c>
      <c r="AE245" s="23">
        <v>1032.1011677925364</v>
      </c>
      <c r="AF245" s="27">
        <v>1.1979797083255311E-2</v>
      </c>
      <c r="AG245" s="19">
        <v>4.3463580257994474</v>
      </c>
      <c r="AH245" s="19">
        <v>0.16326329219244826</v>
      </c>
      <c r="AI245" s="19">
        <v>4.509621317991896</v>
      </c>
      <c r="AJ245" s="19">
        <v>0</v>
      </c>
      <c r="AK245" s="19">
        <v>87.515828494942411</v>
      </c>
      <c r="AL245" s="23">
        <v>1006.5598284949424</v>
      </c>
      <c r="AM245" s="22">
        <v>1.5294398771411635E-2</v>
      </c>
      <c r="AN245" s="19">
        <v>5.5786726888400349</v>
      </c>
      <c r="AO245" s="19">
        <v>0.16326329219244826</v>
      </c>
      <c r="AP245" s="19">
        <v>5.7419359810324835</v>
      </c>
      <c r="AQ245" s="19">
        <v>0</v>
      </c>
      <c r="AR245" s="19">
        <v>40.947463376677092</v>
      </c>
      <c r="AS245" s="23">
        <v>959.99146337667707</v>
      </c>
    </row>
    <row r="246" spans="5:45">
      <c r="E246" s="35" t="str">
        <f t="shared" si="57"/>
        <v/>
      </c>
      <c r="F246" s="19">
        <v>486</v>
      </c>
      <c r="G246" s="19">
        <v>911.16399999999999</v>
      </c>
      <c r="H246" s="19">
        <v>2</v>
      </c>
      <c r="I246" s="19">
        <v>1.5</v>
      </c>
      <c r="J246" s="36">
        <v>4.0831050228310497</v>
      </c>
      <c r="K246" s="36">
        <v>2.3105647912778942</v>
      </c>
      <c r="L246" s="37">
        <v>3067121.4043511869</v>
      </c>
      <c r="M246" s="37" t="s">
        <v>96</v>
      </c>
      <c r="N246" s="23">
        <v>133.16176963567113</v>
      </c>
      <c r="O246" s="57">
        <v>117.09619158843338</v>
      </c>
      <c r="P246" s="66">
        <v>9.375</v>
      </c>
      <c r="Q246" s="68">
        <v>689269.72334380972</v>
      </c>
      <c r="R246" s="27">
        <v>9.0112502883211744E-3</v>
      </c>
      <c r="S246" s="19">
        <v>3.2693475307588078</v>
      </c>
      <c r="T246" s="19">
        <v>0.16326329219244826</v>
      </c>
      <c r="U246" s="19">
        <v>3.432610822951256</v>
      </c>
      <c r="V246" s="19">
        <v>0</v>
      </c>
      <c r="W246" s="19">
        <v>133.16176963567113</v>
      </c>
      <c r="X246" s="23">
        <v>1044.3257696356711</v>
      </c>
      <c r="Y246" s="22">
        <v>1.0136821254400123E-2</v>
      </c>
      <c r="Z246" s="19">
        <v>3.6777129119105498</v>
      </c>
      <c r="AA246" s="19">
        <v>0.16326329219244826</v>
      </c>
      <c r="AB246" s="19">
        <v>3.840976204102998</v>
      </c>
      <c r="AC246" s="19">
        <v>0</v>
      </c>
      <c r="AD246" s="19">
        <v>117.09619158843338</v>
      </c>
      <c r="AE246" s="23">
        <v>1028.2601915884334</v>
      </c>
      <c r="AF246" s="27">
        <v>1.1979797083255311E-2</v>
      </c>
      <c r="AG246" s="19">
        <v>4.3463580257994474</v>
      </c>
      <c r="AH246" s="19">
        <v>0.16326329219244826</v>
      </c>
      <c r="AI246" s="19">
        <v>4.509621317991896</v>
      </c>
      <c r="AJ246" s="19">
        <v>0</v>
      </c>
      <c r="AK246" s="19">
        <v>90.886207176950506</v>
      </c>
      <c r="AL246" s="23">
        <v>1002.0502071769505</v>
      </c>
      <c r="AM246" s="22">
        <v>1.5294398771411635E-2</v>
      </c>
      <c r="AN246" s="19">
        <v>5.5786726888400349</v>
      </c>
      <c r="AO246" s="19">
        <v>0.16326329219244826</v>
      </c>
      <c r="AP246" s="19">
        <v>5.7419359810324835</v>
      </c>
      <c r="AQ246" s="19">
        <v>0</v>
      </c>
      <c r="AR246" s="19">
        <v>43.08552739564459</v>
      </c>
      <c r="AS246" s="23">
        <v>954.24952739564458</v>
      </c>
    </row>
    <row r="247" spans="5:45">
      <c r="E247" s="35" t="str">
        <f t="shared" si="57"/>
        <v/>
      </c>
      <c r="F247" s="19">
        <v>488</v>
      </c>
      <c r="G247" s="19">
        <v>903.89300000000003</v>
      </c>
      <c r="H247" s="19">
        <v>2</v>
      </c>
      <c r="I247" s="19">
        <v>1.5</v>
      </c>
      <c r="J247" s="36">
        <v>4.0831050228310497</v>
      </c>
      <c r="K247" s="36">
        <v>2.3105647912778942</v>
      </c>
      <c r="L247" s="37">
        <v>3067121.4043511869</v>
      </c>
      <c r="M247" s="37" t="s">
        <v>96</v>
      </c>
      <c r="N247" s="23">
        <v>137.00015881271975</v>
      </c>
      <c r="O247" s="57">
        <v>120.52621538433027</v>
      </c>
      <c r="P247" s="66">
        <v>9.375</v>
      </c>
      <c r="Q247" s="68">
        <v>689269.72334380972</v>
      </c>
      <c r="R247" s="27">
        <v>9.0112502883211744E-3</v>
      </c>
      <c r="S247" s="19">
        <v>3.2693475307588078</v>
      </c>
      <c r="T247" s="19">
        <v>0.16326329219244826</v>
      </c>
      <c r="U247" s="19">
        <v>3.432610822951256</v>
      </c>
      <c r="V247" s="19">
        <v>0</v>
      </c>
      <c r="W247" s="19">
        <v>137.00015881271975</v>
      </c>
      <c r="X247" s="23">
        <v>1040.8931588127198</v>
      </c>
      <c r="Y247" s="22">
        <v>1.0136821254400123E-2</v>
      </c>
      <c r="Z247" s="19">
        <v>3.6777129119105498</v>
      </c>
      <c r="AA247" s="19">
        <v>0.16326329219244826</v>
      </c>
      <c r="AB247" s="19">
        <v>3.840976204102998</v>
      </c>
      <c r="AC247" s="19">
        <v>0</v>
      </c>
      <c r="AD247" s="19">
        <v>120.52621538433027</v>
      </c>
      <c r="AE247" s="23">
        <v>1024.4192153843303</v>
      </c>
      <c r="AF247" s="27">
        <v>1.1979797083255311E-2</v>
      </c>
      <c r="AG247" s="19">
        <v>4.3463580257994474</v>
      </c>
      <c r="AH247" s="19">
        <v>0.16326329219244826</v>
      </c>
      <c r="AI247" s="19">
        <v>4.509621317991896</v>
      </c>
      <c r="AJ247" s="19">
        <v>0</v>
      </c>
      <c r="AK247" s="19">
        <v>93.647585858958564</v>
      </c>
      <c r="AL247" s="23">
        <v>997.54058585895859</v>
      </c>
      <c r="AM247" s="22">
        <v>1.5294398771411635E-2</v>
      </c>
      <c r="AN247" s="19">
        <v>5.5786726888400349</v>
      </c>
      <c r="AO247" s="19">
        <v>0.16326329219244826</v>
      </c>
      <c r="AP247" s="19">
        <v>5.7419359810324835</v>
      </c>
      <c r="AQ247" s="19">
        <v>0</v>
      </c>
      <c r="AR247" s="19">
        <v>44.61459141461205</v>
      </c>
      <c r="AS247" s="23">
        <v>948.50759141461208</v>
      </c>
    </row>
    <row r="248" spans="5:45">
      <c r="E248" s="35" t="str">
        <f t="shared" si="57"/>
        <v/>
      </c>
      <c r="F248" s="19">
        <v>490</v>
      </c>
      <c r="G248" s="19">
        <v>901.95299999999997</v>
      </c>
      <c r="H248" s="19">
        <v>2</v>
      </c>
      <c r="I248" s="19">
        <v>1.5</v>
      </c>
      <c r="J248" s="36">
        <v>4.0831050228310497</v>
      </c>
      <c r="K248" s="36">
        <v>2.3105647912778942</v>
      </c>
      <c r="L248" s="37">
        <v>3067121.4043511869</v>
      </c>
      <c r="M248" s="37" t="s">
        <v>96</v>
      </c>
      <c r="N248" s="23">
        <v>135.50754798976845</v>
      </c>
      <c r="O248" s="57">
        <v>118.62523918022737</v>
      </c>
      <c r="P248" s="66">
        <v>9.375</v>
      </c>
      <c r="Q248" s="68">
        <v>689269.72334380972</v>
      </c>
      <c r="R248" s="27">
        <v>9.0112502883211744E-3</v>
      </c>
      <c r="S248" s="19">
        <v>3.2693475307588078</v>
      </c>
      <c r="T248" s="19">
        <v>0.16326329219244826</v>
      </c>
      <c r="U248" s="19">
        <v>3.432610822951256</v>
      </c>
      <c r="V248" s="19">
        <v>0</v>
      </c>
      <c r="W248" s="19">
        <v>135.50754798976845</v>
      </c>
      <c r="X248" s="23">
        <v>1037.4605479897684</v>
      </c>
      <c r="Y248" s="22">
        <v>1.0136821254400123E-2</v>
      </c>
      <c r="Z248" s="19">
        <v>3.6777129119105498</v>
      </c>
      <c r="AA248" s="19">
        <v>0.16326329219244826</v>
      </c>
      <c r="AB248" s="19">
        <v>3.840976204102998</v>
      </c>
      <c r="AC248" s="19">
        <v>0</v>
      </c>
      <c r="AD248" s="19">
        <v>118.62523918022737</v>
      </c>
      <c r="AE248" s="23">
        <v>1020.5782391802273</v>
      </c>
      <c r="AF248" s="27">
        <v>1.1979797083255311E-2</v>
      </c>
      <c r="AG248" s="19">
        <v>4.3463580257994474</v>
      </c>
      <c r="AH248" s="19">
        <v>0.16326329219244826</v>
      </c>
      <c r="AI248" s="19">
        <v>4.509621317991896</v>
      </c>
      <c r="AJ248" s="19">
        <v>0</v>
      </c>
      <c r="AK248" s="19">
        <v>91.077964540966718</v>
      </c>
      <c r="AL248" s="23">
        <v>993.03096454096669</v>
      </c>
      <c r="AM248" s="22">
        <v>1.5294398771411635E-2</v>
      </c>
      <c r="AN248" s="19">
        <v>5.5786726888400349</v>
      </c>
      <c r="AO248" s="19">
        <v>0.16326329219244826</v>
      </c>
      <c r="AP248" s="19">
        <v>5.7419359810324835</v>
      </c>
      <c r="AQ248" s="19">
        <v>0</v>
      </c>
      <c r="AR248" s="19">
        <v>40.812655433579607</v>
      </c>
      <c r="AS248" s="23">
        <v>942.76565543357958</v>
      </c>
    </row>
    <row r="249" spans="5:45">
      <c r="E249" s="35" t="str">
        <f t="shared" si="57"/>
        <v/>
      </c>
      <c r="F249" s="19">
        <v>492</v>
      </c>
      <c r="G249" s="19">
        <v>900.19799999999998</v>
      </c>
      <c r="H249" s="19">
        <v>2</v>
      </c>
      <c r="I249" s="19">
        <v>1.5</v>
      </c>
      <c r="J249" s="36">
        <v>4.0831050228310497</v>
      </c>
      <c r="K249" s="36">
        <v>2.3105647912778942</v>
      </c>
      <c r="L249" s="37">
        <v>3067121.4043511869</v>
      </c>
      <c r="M249" s="37" t="s">
        <v>96</v>
      </c>
      <c r="N249" s="23">
        <v>133.8299371668171</v>
      </c>
      <c r="O249" s="57">
        <v>116.53926297612441</v>
      </c>
      <c r="P249" s="66">
        <v>9.375</v>
      </c>
      <c r="Q249" s="68">
        <v>689269.72334380972</v>
      </c>
      <c r="R249" s="27">
        <v>9.0112502883211744E-3</v>
      </c>
      <c r="S249" s="19">
        <v>3.2693475307588078</v>
      </c>
      <c r="T249" s="19">
        <v>0.16326329219244826</v>
      </c>
      <c r="U249" s="19">
        <v>3.432610822951256</v>
      </c>
      <c r="V249" s="19">
        <v>0</v>
      </c>
      <c r="W249" s="19">
        <v>133.8299371668171</v>
      </c>
      <c r="X249" s="23">
        <v>1034.0279371668171</v>
      </c>
      <c r="Y249" s="22">
        <v>1.0136821254400123E-2</v>
      </c>
      <c r="Z249" s="19">
        <v>3.6777129119105498</v>
      </c>
      <c r="AA249" s="19">
        <v>0.16326329219244826</v>
      </c>
      <c r="AB249" s="19">
        <v>3.840976204102998</v>
      </c>
      <c r="AC249" s="19">
        <v>0</v>
      </c>
      <c r="AD249" s="19">
        <v>116.53926297612441</v>
      </c>
      <c r="AE249" s="23">
        <v>1016.7372629761244</v>
      </c>
      <c r="AF249" s="27">
        <v>1.1979797083255311E-2</v>
      </c>
      <c r="AG249" s="19">
        <v>4.3463580257994474</v>
      </c>
      <c r="AH249" s="19">
        <v>0.16326329219244826</v>
      </c>
      <c r="AI249" s="19">
        <v>4.509621317991896</v>
      </c>
      <c r="AJ249" s="19">
        <v>0</v>
      </c>
      <c r="AK249" s="19">
        <v>88.323343222974813</v>
      </c>
      <c r="AL249" s="23">
        <v>988.52134322297479</v>
      </c>
      <c r="AM249" s="22">
        <v>1.5294398771411635E-2</v>
      </c>
      <c r="AN249" s="19">
        <v>5.5786726888400349</v>
      </c>
      <c r="AO249" s="19">
        <v>0.16326329219244826</v>
      </c>
      <c r="AP249" s="19">
        <v>5.7419359810324835</v>
      </c>
      <c r="AQ249" s="19">
        <v>0</v>
      </c>
      <c r="AR249" s="19">
        <v>36.825719452547105</v>
      </c>
      <c r="AS249" s="23">
        <v>937.02371945254708</v>
      </c>
    </row>
    <row r="250" spans="5:45">
      <c r="E250" s="35" t="str">
        <f t="shared" si="57"/>
        <v/>
      </c>
      <c r="F250" s="19">
        <v>494</v>
      </c>
      <c r="G250" s="19">
        <v>904.17700000000002</v>
      </c>
      <c r="H250" s="19">
        <v>2</v>
      </c>
      <c r="I250" s="19">
        <v>1.5</v>
      </c>
      <c r="J250" s="36">
        <v>4.0831050228310497</v>
      </c>
      <c r="K250" s="36">
        <v>2.3105647912778942</v>
      </c>
      <c r="L250" s="37">
        <v>3067121.4043511869</v>
      </c>
      <c r="M250" s="37" t="s">
        <v>96</v>
      </c>
      <c r="N250" s="23">
        <v>126.41832634386571</v>
      </c>
      <c r="O250" s="57">
        <v>108.71928677202141</v>
      </c>
      <c r="P250" s="66">
        <v>9.375</v>
      </c>
      <c r="Q250" s="68">
        <v>689269.72334380972</v>
      </c>
      <c r="R250" s="27">
        <v>9.0112502883211744E-3</v>
      </c>
      <c r="S250" s="19">
        <v>3.2693475307588078</v>
      </c>
      <c r="T250" s="19">
        <v>0.16326329219244826</v>
      </c>
      <c r="U250" s="19">
        <v>3.432610822951256</v>
      </c>
      <c r="V250" s="19">
        <v>0</v>
      </c>
      <c r="W250" s="19">
        <v>126.41832634386571</v>
      </c>
      <c r="X250" s="23">
        <v>1030.5953263438657</v>
      </c>
      <c r="Y250" s="22">
        <v>1.0136821254400123E-2</v>
      </c>
      <c r="Z250" s="19">
        <v>3.6777129119105498</v>
      </c>
      <c r="AA250" s="19">
        <v>0.16326329219244826</v>
      </c>
      <c r="AB250" s="19">
        <v>3.840976204102998</v>
      </c>
      <c r="AC250" s="19">
        <v>0</v>
      </c>
      <c r="AD250" s="19">
        <v>108.71928677202141</v>
      </c>
      <c r="AE250" s="23">
        <v>1012.8962867720214</v>
      </c>
      <c r="AF250" s="27">
        <v>1.1979797083255311E-2</v>
      </c>
      <c r="AG250" s="19">
        <v>4.3463580257994474</v>
      </c>
      <c r="AH250" s="19">
        <v>0.16326329219244826</v>
      </c>
      <c r="AI250" s="19">
        <v>4.509621317991896</v>
      </c>
      <c r="AJ250" s="19">
        <v>0</v>
      </c>
      <c r="AK250" s="19">
        <v>79.834721904982871</v>
      </c>
      <c r="AL250" s="23">
        <v>984.01172190498289</v>
      </c>
      <c r="AM250" s="22">
        <v>1.5294398771411635E-2</v>
      </c>
      <c r="AN250" s="19">
        <v>5.5786726888400349</v>
      </c>
      <c r="AO250" s="19">
        <v>0.16326329219244826</v>
      </c>
      <c r="AP250" s="19">
        <v>5.7419359810324835</v>
      </c>
      <c r="AQ250" s="19">
        <v>0</v>
      </c>
      <c r="AR250" s="19">
        <v>27.104783471514565</v>
      </c>
      <c r="AS250" s="23">
        <v>931.28178347151459</v>
      </c>
    </row>
    <row r="251" spans="5:45">
      <c r="E251" s="35" t="str">
        <f t="shared" si="57"/>
        <v/>
      </c>
      <c r="F251" s="19">
        <v>496</v>
      </c>
      <c r="G251" s="19">
        <v>912.25300000000004</v>
      </c>
      <c r="H251" s="19">
        <v>2</v>
      </c>
      <c r="I251" s="19">
        <v>1.5</v>
      </c>
      <c r="J251" s="36">
        <v>4.0831050228310497</v>
      </c>
      <c r="K251" s="36">
        <v>2.3105647912778942</v>
      </c>
      <c r="L251" s="37">
        <v>3067121.4043511869</v>
      </c>
      <c r="M251" s="37" t="s">
        <v>96</v>
      </c>
      <c r="N251" s="23">
        <v>114.90971552091435</v>
      </c>
      <c r="O251" s="57">
        <v>96.802310567918425</v>
      </c>
      <c r="P251" s="66">
        <v>9.375</v>
      </c>
      <c r="Q251" s="68">
        <v>689269.72334380972</v>
      </c>
      <c r="R251" s="27">
        <v>9.0112502883211744E-3</v>
      </c>
      <c r="S251" s="19">
        <v>3.2693475307588078</v>
      </c>
      <c r="T251" s="19">
        <v>0.16326329219244826</v>
      </c>
      <c r="U251" s="19">
        <v>3.432610822951256</v>
      </c>
      <c r="V251" s="19">
        <v>0</v>
      </c>
      <c r="W251" s="19">
        <v>114.90971552091435</v>
      </c>
      <c r="X251" s="23">
        <v>1027.1627155209144</v>
      </c>
      <c r="Y251" s="22">
        <v>1.0136821254400123E-2</v>
      </c>
      <c r="Z251" s="19">
        <v>3.6777129119105498</v>
      </c>
      <c r="AA251" s="19">
        <v>0.16326329219244826</v>
      </c>
      <c r="AB251" s="19">
        <v>3.840976204102998</v>
      </c>
      <c r="AC251" s="19">
        <v>0</v>
      </c>
      <c r="AD251" s="19">
        <v>96.802310567918425</v>
      </c>
      <c r="AE251" s="23">
        <v>1009.0553105679185</v>
      </c>
      <c r="AF251" s="27">
        <v>1.1979797083255311E-2</v>
      </c>
      <c r="AG251" s="19">
        <v>4.3463580257994474</v>
      </c>
      <c r="AH251" s="19">
        <v>0.16326329219244826</v>
      </c>
      <c r="AI251" s="19">
        <v>4.509621317991896</v>
      </c>
      <c r="AJ251" s="19">
        <v>0</v>
      </c>
      <c r="AK251" s="19">
        <v>67.249100586990949</v>
      </c>
      <c r="AL251" s="23">
        <v>979.50210058699099</v>
      </c>
      <c r="AM251" s="22">
        <v>1.5294398771411635E-2</v>
      </c>
      <c r="AN251" s="19">
        <v>5.5786726888400349</v>
      </c>
      <c r="AO251" s="19">
        <v>0.16326329219244826</v>
      </c>
      <c r="AP251" s="19">
        <v>5.7419359810324835</v>
      </c>
      <c r="AQ251" s="19">
        <v>0</v>
      </c>
      <c r="AR251" s="19">
        <v>13.286847490482046</v>
      </c>
      <c r="AS251" s="23">
        <v>925.53984749048209</v>
      </c>
    </row>
    <row r="252" spans="5:45">
      <c r="E252" s="35" t="str">
        <f t="shared" si="57"/>
        <v/>
      </c>
      <c r="F252" s="19">
        <v>498</v>
      </c>
      <c r="G252" s="19">
        <v>915.29700000000003</v>
      </c>
      <c r="H252" s="19">
        <v>2</v>
      </c>
      <c r="I252" s="19">
        <v>1.5</v>
      </c>
      <c r="J252" s="36">
        <v>4.0831050228310497</v>
      </c>
      <c r="K252" s="36">
        <v>2.3105647912778942</v>
      </c>
      <c r="L252" s="37">
        <v>3067121.4043511869</v>
      </c>
      <c r="M252" s="37" t="s">
        <v>96</v>
      </c>
      <c r="N252" s="23">
        <v>108.43310469796313</v>
      </c>
      <c r="O252" s="57">
        <v>89.917334363815485</v>
      </c>
      <c r="P252" s="66">
        <v>9.375</v>
      </c>
      <c r="Q252" s="68">
        <v>689269.72334380972</v>
      </c>
      <c r="R252" s="27">
        <v>9.0112502883211744E-3</v>
      </c>
      <c r="S252" s="19">
        <v>3.2693475307588078</v>
      </c>
      <c r="T252" s="19">
        <v>0.16326329219244826</v>
      </c>
      <c r="U252" s="19">
        <v>3.432610822951256</v>
      </c>
      <c r="V252" s="19">
        <v>0</v>
      </c>
      <c r="W252" s="19">
        <v>108.43310469796313</v>
      </c>
      <c r="X252" s="23">
        <v>1023.7301046979632</v>
      </c>
      <c r="Y252" s="22">
        <v>1.0136821254400123E-2</v>
      </c>
      <c r="Z252" s="19">
        <v>3.6777129119105498</v>
      </c>
      <c r="AA252" s="19">
        <v>0.16326329219244826</v>
      </c>
      <c r="AB252" s="19">
        <v>3.840976204102998</v>
      </c>
      <c r="AC252" s="19">
        <v>0</v>
      </c>
      <c r="AD252" s="19">
        <v>89.917334363815485</v>
      </c>
      <c r="AE252" s="23">
        <v>1005.2143343638155</v>
      </c>
      <c r="AF252" s="27">
        <v>1.1979797083255311E-2</v>
      </c>
      <c r="AG252" s="19">
        <v>4.3463580257994474</v>
      </c>
      <c r="AH252" s="19">
        <v>0.16326329219244826</v>
      </c>
      <c r="AI252" s="19">
        <v>4.509621317991896</v>
      </c>
      <c r="AJ252" s="19">
        <v>0</v>
      </c>
      <c r="AK252" s="19">
        <v>59.695479268999065</v>
      </c>
      <c r="AL252" s="23">
        <v>974.99247926899909</v>
      </c>
      <c r="AM252" s="22">
        <v>1.5294398771411635E-2</v>
      </c>
      <c r="AN252" s="19">
        <v>5.5786726888400349</v>
      </c>
      <c r="AO252" s="19">
        <v>0.16326329219244826</v>
      </c>
      <c r="AP252" s="19">
        <v>5.7419359810324835</v>
      </c>
      <c r="AQ252" s="19">
        <v>0</v>
      </c>
      <c r="AR252" s="19">
        <v>4.5009115094495655</v>
      </c>
      <c r="AS252" s="23">
        <v>919.79791150944959</v>
      </c>
    </row>
    <row r="253" spans="5:45" ht="15.75" thickBot="1">
      <c r="E253" s="38" t="str">
        <f t="shared" si="57"/>
        <v>Reservoir</v>
      </c>
      <c r="F253" s="25">
        <v>500</v>
      </c>
      <c r="G253" s="25">
        <v>919.62900000000002</v>
      </c>
      <c r="H253" s="25">
        <v>2</v>
      </c>
      <c r="I253" s="25">
        <v>1.5</v>
      </c>
      <c r="J253" s="39">
        <v>4.0831050228310497</v>
      </c>
      <c r="K253" s="39">
        <v>2.3105647912778942</v>
      </c>
      <c r="L253" s="40">
        <v>3067121.4043511869</v>
      </c>
      <c r="M253" s="40">
        <v>10</v>
      </c>
      <c r="N253" s="26">
        <v>10</v>
      </c>
      <c r="O253" s="58">
        <v>10</v>
      </c>
      <c r="P253" s="67">
        <v>9.375</v>
      </c>
      <c r="Q253" s="69">
        <v>689269.72334380972</v>
      </c>
      <c r="R253" s="30">
        <v>9.0112502883211744E-3</v>
      </c>
      <c r="S253" s="25">
        <v>3.2693475307588078</v>
      </c>
      <c r="T253" s="25">
        <v>0.16326329219244826</v>
      </c>
      <c r="U253" s="25">
        <v>3.432610822951256</v>
      </c>
      <c r="V253" s="25">
        <v>0</v>
      </c>
      <c r="W253" s="25">
        <v>10</v>
      </c>
      <c r="X253" s="26">
        <v>929.62900000000002</v>
      </c>
      <c r="Y253" s="24">
        <v>1.0136821254400123E-2</v>
      </c>
      <c r="Z253" s="25">
        <v>3.6777129119105498</v>
      </c>
      <c r="AA253" s="25">
        <v>0.16326329219244826</v>
      </c>
      <c r="AB253" s="25">
        <v>3.840976204102998</v>
      </c>
      <c r="AC253" s="25">
        <v>0</v>
      </c>
      <c r="AD253" s="25">
        <v>10</v>
      </c>
      <c r="AE253" s="26">
        <v>929.62900000000002</v>
      </c>
      <c r="AF253" s="30">
        <v>1.1979797083255311E-2</v>
      </c>
      <c r="AG253" s="25">
        <v>4.3463580257994474</v>
      </c>
      <c r="AH253" s="25">
        <v>0.16326329219244826</v>
      </c>
      <c r="AI253" s="25">
        <v>4.509621317991896</v>
      </c>
      <c r="AJ253" s="25">
        <v>0</v>
      </c>
      <c r="AK253" s="25">
        <v>10</v>
      </c>
      <c r="AL253" s="26">
        <v>929.62900000000002</v>
      </c>
      <c r="AM253" s="24">
        <v>1.5294398771411635E-2</v>
      </c>
      <c r="AN253" s="25">
        <v>5.5786726888400349</v>
      </c>
      <c r="AO253" s="25">
        <v>0.16326329219244826</v>
      </c>
      <c r="AP253" s="25">
        <v>5.7419359810324835</v>
      </c>
      <c r="AQ253" s="25">
        <v>0</v>
      </c>
      <c r="AR253" s="25">
        <v>10</v>
      </c>
      <c r="AS253" s="26">
        <v>929.62900000000002</v>
      </c>
    </row>
    <row r="254" spans="5:45" ht="15.75" thickBot="1">
      <c r="E254" s="71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 t="s">
        <v>76</v>
      </c>
      <c r="Q254" s="78">
        <f>SUM(Q4:Q253)</f>
        <v>286817693.87922901</v>
      </c>
    </row>
    <row r="255" spans="5:45">
      <c r="Q255" s="70"/>
    </row>
  </sheetData>
  <dataConsolidate/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53 AR4:AR253 AK4:AK253 AD4:AD253">
      <formula1>10</formula1>
    </dataValidation>
    <dataValidation type="list" allowBlank="1" showInputMessage="1" showErrorMessage="1" sqref="B11:B16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7" fitToHeight="3" orientation="portrait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Summary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2010-05-21T13:25:56Z</cp:lastPrinted>
  <dcterms:created xsi:type="dcterms:W3CDTF">2010-04-20T13:30:20Z</dcterms:created>
  <dcterms:modified xsi:type="dcterms:W3CDTF">2010-08-17T10:23:24Z</dcterms:modified>
</cp:coreProperties>
</file>